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CC0F22A4-1250-4940-957C-C5862592B233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9" i="6"/>
  <c r="C21" i="6"/>
  <c r="C22" i="6"/>
  <c r="C28" i="10"/>
  <c r="C29" i="10"/>
  <c r="C30" i="10"/>
  <c r="C32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9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9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<sst xmlns="http://schemas.openxmlformats.org/spreadsheetml/2006/main" count="13166" uniqueCount="5453">
  <si>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</si>
  <si>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</si>
  <si>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</si>
  <si>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</si>
  <si>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</si>
  <si>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</si>
  <si>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</si>
  <si>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</si>
  <si>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</si>
  <si>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</si>
  <si>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</si>
  <si>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</si>
  <si>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</si>
  <si>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</si>
  <si>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</si>
  <si>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</si>
  <si>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</si>
  <si>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</si>
  <si>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</si>
  <si>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</si>
  <si>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</si>
  <si>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</si>
  <si>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</si>
  <si>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</si>
  <si>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</si>
  <si>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</si>
  <si>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</si>
  <si>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</si>
  <si>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</si>
  <si>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</si>
  <si>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</si>
  <si>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</si>
  <si>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</si>
  <si>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</si>
  <si>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</si>
  <si>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</si>
  <si>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</si>
  <si>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</si>
  <si>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</si>
  <si>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</si>
  <si>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</si>
  <si>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</si>
  <si>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</si>
  <si>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</si>
  <si>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</si>
  <si>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</si>
  <si>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</si>
  <si>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</si>
  <si>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</si>
  <si>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</si>
  <si>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</si>
  <si>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</si>
  <si>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</si>
  <si>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</si>
  <si>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</si>
  <si>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</si>
  <si>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</si>
  <si>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</si>
  <si>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</si>
  <si>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</si>
  <si>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</si>
  <si>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</si>
  <si>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</si>
  <si>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</si>
  <si>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</si>
  <si>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</si>
  <si>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</si>
  <si>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</si>
  <si>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</si>
  <si>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</si>
  <si>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</si>
  <si>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</si>
  <si>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</si>
  <si>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</si>
  <si>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</si>
  <si>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</si>
  <si>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</si>
  <si>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</si>
  <si>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</si>
  <si>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</si>
  <si>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</si>
  <si>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</si>
  <si>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</si>
  <si>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</si>
  <si>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</si>
  <si>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</si>
  <si>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</si>
  <si>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</si>
  <si>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</si>
  <si>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</si>
  <si>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</si>
  <si>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</si>
  <si>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</si>
  <si>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</si>
  <si>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</si>
  <si>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</si>
  <si>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</si>
  <si>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</si>
  <si>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</si>
  <si>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</si>
  <si>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</si>
  <si>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</si>
  <si>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</si>
  <si>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</si>
  <si>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</si>
  <si>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</si>
  <si>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</si>
  <si>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</si>
  <si>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</si>
  <si>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</si>
  <si>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</si>
  <si>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</si>
  <si>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</si>
  <si>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</si>
  <si>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</si>
  <si>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</si>
  <si>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</si>
  <si>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</si>
  <si>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</si>
  <si>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</si>
  <si>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</si>
  <si>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</si>
  <si>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</si>
  <si>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</si>
  <si>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</si>
  <si>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</si>
  <si>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</si>
  <si>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</si>
  <si>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</si>
  <si>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</si>
  <si>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</si>
  <si>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</si>
  <si>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</si>
  <si>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</si>
  <si>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</si>
  <si>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</si>
  <si>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</si>
  <si>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</si>
  <si>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</si>
  <si>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</si>
  <si>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</si>
  <si>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</si>
  <si>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</si>
  <si>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</si>
  <si>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</si>
  <si>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</si>
  <si>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</si>
  <si>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</si>
  <si>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</si>
  <si>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</si>
  <si>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</si>
  <si>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</si>
  <si>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</si>
  <si>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</si>
  <si>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</si>
  <si>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</si>
  <si>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</si>
  <si>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</si>
  <si>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</si>
  <si>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</si>
  <si>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</si>
  <si>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</si>
  <si>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</si>
  <si>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</si>
  <si>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</si>
  <si>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</si>
  <si>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</si>
  <si>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</si>
  <si>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</si>
  <si>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</si>
  <si>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</si>
  <si>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</si>
  <si>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</si>
  <si>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</si>
  <si>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</si>
  <si>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</si>
  <si>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</si>
  <si>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</si>
  <si>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</si>
  <si>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</si>
  <si>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</si>
  <si>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</si>
  <si>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</si>
  <si>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</si>
  <si>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</si>
  <si>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</si>
  <si>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</si>
  <si>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</si>
  <si>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</si>
  <si>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</si>
  <si>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</si>
  <si>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</si>
  <si>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</si>
  <si>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</si>
  <si>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</si>
  <si>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</si>
  <si>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</si>
  <si>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</si>
  <si>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</si>
  <si>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</si>
  <si>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</si>
  <si>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</si>
  <si>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</si>
  <si>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</si>
  <si>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</si>
  <si>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</si>
  <si>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</si>
  <si>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</si>
  <si>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</si>
  <si>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</si>
  <si>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</si>
  <si>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</si>
  <si>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</si>
  <si>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</si>
  <si>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</si>
  <si>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</si>
  <si>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</si>
  <si>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</si>
  <si>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</si>
  <si>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</si>
  <si>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</si>
  <si>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</si>
  <si>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</si>
  <si>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</si>
  <si>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</si>
  <si>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</si>
  <si>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</si>
  <si>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</si>
  <si>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</si>
  <si>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</si>
  <si>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</si>
  <si>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</si>
  <si>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</si>
  <si>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</si>
  <si>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</si>
  <si>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</si>
  <si>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</si>
  <si>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</si>
  <si>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</si>
  <si>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</si>
  <si>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</si>
  <si>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</si>
  <si>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</si>
  <si>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</si>
  <si>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</si>
  <si>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</si>
  <si>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</si>
  <si>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</si>
  <si>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</si>
  <si>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</si>
  <si>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</si>
  <si>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</si>
  <si>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</si>
  <si>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</si>
  <si>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</si>
  <si>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</si>
  <si>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</si>
  <si>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</si>
  <si>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</si>
  <si>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</si>
  <si>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</si>
  <si>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</si>
  <si>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</si>
  <si>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</si>
  <si>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</si>
  <si>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</si>
  <si>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</si>
  <si>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</si>
  <si>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</si>
  <si>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</si>
  <si>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</si>
  <si>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</si>
  <si>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</si>
  <si>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</si>
  <si>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</si>
  <si>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</si>
  <si>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</si>
  <si>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</si>
  <si>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</si>
  <si>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</si>
  <si>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</si>
  <si>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</si>
  <si>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</si>
  <si>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</si>
  <si>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</si>
  <si>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</si>
  <si>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</si>
  <si>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</si>
  <si>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</si>
  <si>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</si>
  <si>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</si>
  <si>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</si>
  <si>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</si>
  <si>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</si>
  <si>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</si>
  <si>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</si>
  <si>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</si>
  <si>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</si>
  <si>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</si>
  <si>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</si>
  <si>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</si>
  <si>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</si>
  <si>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</si>
  <si>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</si>
  <si>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</si>
  <si>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</si>
  <si>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</si>
  <si>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</si>
  <si>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</si>
  <si>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</si>
  <si>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</si>
  <si>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</si>
  <si>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</si>
  <si>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</si>
  <si>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</si>
  <si>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</si>
  <si>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</si>
  <si>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</si>
  <si>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</si>
  <si>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</si>
  <si>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</si>
  <si>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</si>
  <si>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</si>
  <si>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</si>
  <si>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</si>
  <si>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</si>
  <si>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</si>
  <si>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</si>
  <si>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</si>
  <si>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</si>
  <si>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</si>
  <si>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</si>
  <si>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</si>
  <si>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</si>
  <si>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</si>
  <si>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</si>
  <si>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</si>
  <si>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</si>
  <si>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</si>
  <si>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</si>
  <si>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</si>
  <si>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</si>
  <si>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</si>
  <si>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</si>
  <si>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</si>
  <si>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</si>
  <si>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</si>
  <si>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</si>
  <si>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</si>
  <si>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</si>
  <si>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</si>
  <si>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</si>
  <si>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</si>
  <si>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</si>
  <si>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</si>
  <si>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</si>
  <si>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</si>
  <si>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</si>
  <si>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</si>
  <si>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</si>
  <si>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</si>
  <si>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</si>
  <si>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</si>
  <si>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</si>
  <si>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</si>
  <si>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</si>
  <si>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</si>
  <si>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</si>
  <si>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</si>
  <si>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</si>
  <si>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</si>
  <si>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</si>
  <si>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</si>
  <si>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</si>
  <si>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</si>
  <si>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</si>
  <si>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</si>
  <si>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</si>
  <si>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</si>
  <si>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</si>
  <si>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</si>
  <si>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</si>
  <si>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</si>
  <si>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</si>
  <si>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</si>
  <si>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</si>
  <si>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</si>
  <si>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</si>
  <si>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</si>
  <si>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</si>
  <si>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</si>
  <si>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</si>
  <si>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</si>
  <si>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</si>
  <si>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</si>
  <si>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</si>
  <si>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</si>
  <si>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</si>
  <si>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</si>
  <si>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</si>
  <si>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</si>
  <si>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</si>
  <si>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</si>
  <si>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</si>
  <si>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</si>
  <si>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</si>
  <si>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</si>
  <si>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</si>
  <si>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</si>
  <si>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</si>
  <si>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</si>
  <si>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</si>
  <si>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</si>
  <si>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</si>
  <si>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</si>
  <si>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</si>
  <si>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</si>
  <si>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</si>
  <si>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</si>
  <si>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</si>
  <si>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</si>
  <si>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</si>
  <si>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</si>
  <si>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</si>
  <si>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</si>
  <si>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</si>
  <si>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</si>
  <si>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</si>
  <si>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</si>
  <si>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</si>
  <si>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</si>
  <si>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</si>
  <si>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</si>
  <si>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</si>
  <si>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</si>
  <si>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</si>
  <si>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</si>
  <si>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</si>
  <si>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</si>
  <si>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</si>
  <si>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</si>
  <si>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</si>
  <si>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</si>
  <si>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</si>
  <si>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</si>
  <si>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</si>
  <si>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</si>
  <si>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</si>
  <si>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</si>
  <si>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</si>
  <si>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</si>
  <si>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</si>
  <si>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</si>
  <si>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</si>
  <si>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</si>
  <si>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</si>
  <si>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</si>
  <si>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</si>
  <si>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</si>
  <si>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</si>
  <si>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</si>
  <si>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</si>
  <si>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</si>
  <si>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</si>
  <si>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</si>
  <si>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</si>
  <si>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</si>
  <si>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</si>
  <si>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</si>
  <si>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</si>
  <si>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</si>
  <si>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</si>
  <si>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</si>
  <si>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</si>
  <si>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</si>
  <si>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</si>
  <si>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</si>
  <si>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</si>
  <si>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</si>
  <si>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</si>
  <si>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</si>
  <si>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</si>
  <si>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</si>
  <si>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</si>
  <si>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</si>
  <si>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</si>
  <si>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</si>
  <si>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</si>
  <si>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</si>
  <si>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</si>
  <si>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</si>
  <si>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</si>
  <si>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</si>
  <si>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</si>
  <si>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</si>
  <si>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</si>
  <si>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</si>
  <si>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</si>
  <si>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</si>
  <si>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</si>
  <si>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</si>
  <si>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</si>
  <si>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</si>
  <si>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</si>
  <si>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</si>
  <si>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</si>
  <si>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</si>
  <si>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</si>
  <si>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</si>
  <si>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</si>
  <si>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</si>
  <si>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</si>
  <si>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</si>
  <si>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</si>
  <si>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</si>
  <si>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</si>
  <si>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</si>
  <si>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</si>
  <si>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</si>
  <si>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</si>
  <si>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</si>
  <si>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</si>
  <si>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</si>
  <si>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</si>
  <si>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</si>
  <si>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</si>
  <si>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</si>
  <si>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</si>
  <si>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</si>
  <si>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</si>
  <si>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</si>
  <si>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</si>
  <si>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</si>
  <si>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</si>
  <si>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</si>
  <si>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</si>
  <si>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</si>
  <si>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</si>
  <si>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</si>
  <si>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</si>
  <si>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</si>
  <si>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</si>
  <si>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</si>
  <si>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</si>
  <si>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</si>
  <si>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</si>
  <si>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</si>
  <si>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</si>
  <si>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</si>
  <si>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</si>
  <si>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</si>
  <si>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</si>
  <si>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</si>
  <si>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</si>
  <si>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</si>
  <si>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</si>
  <si>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</si>
  <si>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</si>
  <si>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</si>
  <si>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</si>
  <si>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</si>
  <si>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</si>
  <si>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</si>
  <si>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</si>
  <si>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</si>
  <si>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</si>
  <si>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</si>
  <si>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</si>
  <si>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</si>
  <si>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</si>
  <si>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</si>
  <si>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</si>
  <si>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</si>
  <si>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</si>
  <si>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</si>
  <si>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</si>
  <si>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</si>
  <si>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</si>
  <si>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</si>
  <si>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</si>
  <si>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</si>
  <si>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</si>
  <si>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</si>
  <si>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</si>
  <si>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</si>
  <si>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</si>
  <si>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</si>
  <si>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</si>
  <si>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</si>
  <si>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</si>
  <si>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</si>
  <si>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</si>
  <si>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</si>
  <si>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</si>
  <si>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</si>
  <si>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</si>
  <si>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</si>
  <si>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</si>
  <si>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</si>
  <si>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</si>
  <si>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</si>
  <si>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</si>
  <si>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</si>
  <si>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</si>
  <si>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</si>
  <si>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</si>
  <si>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</si>
  <si>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</si>
  <si>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</si>
  <si>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</si>
  <si>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</si>
  <si>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</si>
  <si>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</si>
  <si>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</si>
  <si>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</si>
  <si>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</si>
  <si>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</si>
  <si>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</si>
  <si>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</si>
  <si>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</si>
  <si>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</si>
  <si>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</si>
  <si>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</si>
  <si>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</si>
  <si>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</si>
  <si>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</si>
  <si>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</si>
  <si>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</si>
  <si>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</si>
  <si>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</si>
  <si>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</si>
  <si>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</si>
  <si>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</si>
  <si>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</si>
  <si>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</si>
  <si>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</si>
  <si>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</si>
  <si>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</si>
  <si>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</si>
  <si>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</si>
  <si>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</si>
  <si>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</si>
  <si>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</si>
  <si>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</si>
  <si>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</si>
  <si>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</si>
  <si>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</si>
  <si>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</si>
  <si>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</si>
  <si>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</si>
  <si>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</si>
  <si>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</si>
  <si>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</si>
  <si>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</si>
  <si>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</si>
  <si>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</si>
  <si>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</si>
  <si>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</si>
  <si>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</si>
  <si>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</si>
  <si>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</si>
  <si>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</si>
  <si>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</si>
  <si>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</si>
  <si>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</si>
  <si>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</si>
  <si>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</si>
  <si>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</si>
  <si>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</si>
  <si>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</si>
  <si>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</si>
  <si>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</si>
  <si>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</si>
  <si>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</si>
  <si>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</si>
  <si>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</si>
  <si>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</si>
  <si>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</si>
  <si>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</si>
  <si>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</si>
  <si>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</si>
  <si>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</si>
  <si>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</si>
  <si>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</si>
  <si>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</si>
  <si>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</si>
  <si>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</si>
  <si>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</si>
  <si>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</si>
  <si>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</si>
  <si>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</si>
  <si>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</si>
  <si>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</si>
  <si>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</si>
  <si>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</si>
  <si>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</si>
  <si>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</si>
  <si>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</si>
  <si>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</si>
  <si>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</si>
  <si>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</si>
  <si>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</si>
  <si>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</si>
  <si>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</si>
  <si>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</si>
  <si>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</si>
  <si>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</si>
  <si>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</si>
  <si>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</si>
  <si>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</si>
  <si>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</si>
  <si>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</si>
  <si>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</si>
  <si>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</si>
  <si>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</si>
  <si>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</si>
  <si>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</si>
  <si>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</si>
  <si>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</si>
  <si>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</si>
  <si>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</si>
  <si>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</si>
  <si>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</si>
  <si>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</si>
  <si>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</si>
  <si>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</si>
  <si>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</si>
  <si>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</si>
  <si>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</si>
  <si>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</si>
  <si>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</si>
  <si>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</si>
  <si>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</si>
  <si>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</si>
  <si>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</si>
  <si>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</si>
  <si>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</si>
  <si>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</si>
  <si>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</si>
  <si>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</si>
  <si>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</si>
  <si>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</si>
  <si>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</si>
  <si>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</si>
  <si>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</si>
  <si>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</si>
  <si>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</si>
  <si>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</si>
  <si>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</si>
  <si>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</si>
  <si>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</si>
  <si>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</si>
  <si>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</si>
  <si>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</si>
  <si>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</si>
  <si>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</si>
  <si>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</si>
  <si>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</si>
  <si>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</si>
  <si>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</si>
  <si>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</si>
  <si>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</si>
  <si>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</si>
  <si>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</si>
  <si>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</si>
  <si>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</si>
  <si>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</si>
  <si>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</si>
  <si>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</si>
  <si>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</si>
  <si>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</si>
  <si>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</si>
  <si>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</si>
  <si>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</si>
  <si>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</si>
  <si>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</si>
  <si>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</si>
  <si>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</si>
  <si>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</si>
  <si>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</si>
  <si>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</si>
  <si>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</si>
  <si>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</si>
  <si>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</si>
  <si>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</si>
  <si>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</si>
  <si>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</si>
  <si>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</si>
  <si>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</si>
  <si>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</si>
  <si>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</si>
  <si>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</si>
  <si>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</si>
  <si>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</si>
  <si>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</si>
  <si>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</si>
  <si>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</si>
  <si>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</si>
  <si>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</si>
  <si>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</si>
  <si>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</si>
  <si>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</si>
  <si>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</si>
  <si>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</si>
  <si>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</si>
  <si>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</si>
  <si>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</si>
  <si>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</si>
  <si>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</si>
  <si>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</si>
  <si>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</si>
  <si>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</si>
  <si>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</si>
  <si>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</si>
  <si>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</si>
  <si>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</si>
  <si>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</si>
  <si>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</si>
  <si>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</si>
  <si>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</si>
  <si>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</si>
  <si>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</si>
  <si>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</si>
  <si>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</si>
  <si>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</si>
  <si>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</si>
  <si>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</si>
  <si>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</si>
  <si>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</si>
  <si>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</si>
  <si>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</si>
  <si>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</si>
  <si>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</si>
  <si>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</si>
  <si>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</si>
  <si>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</si>
  <si>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</si>
  <si>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</si>
  <si>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</si>
  <si>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</si>
  <si>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</si>
  <si>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</si>
  <si>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</si>
  <si>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</si>
  <si>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</si>
  <si>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</si>
  <si>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</si>
  <si>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</si>
  <si>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</si>
  <si>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</si>
  <si>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</si>
  <si>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</si>
  <si>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</si>
  <si>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</si>
  <si>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</si>
  <si>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</si>
  <si>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</si>
  <si>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</si>
  <si>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</si>
  <si>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</si>
  <si>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</si>
  <si>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</si>
  <si>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</si>
  <si>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</si>
  <si>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</si>
  <si>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</si>
  <si>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</si>
  <si>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</si>
  <si>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</si>
  <si>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</si>
  <si>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</si>
  <si>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</si>
  <si>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</si>
  <si>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</si>
  <si>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</si>
  <si>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</si>
  <si>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</si>
  <si>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</si>
  <si>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</si>
  <si>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</si>
  <si>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</si>
  <si>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</si>
  <si>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</si>
  <si>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</si>
  <si>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</si>
  <si>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</si>
  <si>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</si>
  <si>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</si>
  <si>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</si>
  <si>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</si>
  <si>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</si>
  <si>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</si>
  <si>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</si>
  <si>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</si>
  <si>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</si>
  <si>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</si>
  <si>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</si>
  <si>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</si>
  <si>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</si>
  <si>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</si>
  <si>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</si>
  <si>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</si>
  <si>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</si>
  <si>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</si>
  <si>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</si>
  <si>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</si>
  <si>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</si>
  <si>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</si>
  <si>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</si>
  <si>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</si>
  <si>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</si>
  <si>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</si>
  <si>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</si>
  <si>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</si>
  <si>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</si>
  <si>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</si>
  <si>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</si>
  <si>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</si>
  <si>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</si>
  <si>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</si>
  <si>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</si>
  <si>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</si>
  <si>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</si>
  <si>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</si>
  <si>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</si>
  <si>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</si>
  <si>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</si>
  <si>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</si>
  <si>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</si>
  <si>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</si>
  <si>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</si>
  <si>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</si>
  <si>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</si>
  <si>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</si>
  <si>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</si>
  <si>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</si>
  <si>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</si>
  <si>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</si>
  <si>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</si>
  <si>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</si>
  <si>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</si>
  <si>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</si>
  <si>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</si>
  <si>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</si>
  <si>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</si>
  <si>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</si>
  <si>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</si>
  <si>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</si>
  <si>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</si>
  <si>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</si>
  <si>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</si>
  <si>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</si>
  <si>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</si>
  <si>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</si>
  <si>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</si>
  <si>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</si>
  <si>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</si>
  <si>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</si>
  <si>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</si>
  <si>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</si>
  <si>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</si>
  <si>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</si>
  <si>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</si>
  <si>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</si>
  <si>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</si>
  <si>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</si>
  <si>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</si>
  <si>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</si>
  <si>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</si>
  <si>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</si>
  <si>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</si>
  <si>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</si>
  <si>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</si>
  <si>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</si>
  <si>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</si>
  <si>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</si>
  <si>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</si>
  <si>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</si>
  <si>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</si>
  <si>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</si>
  <si>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</si>
  <si>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</si>
  <si>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</si>
  <si>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</si>
  <si>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</si>
  <si>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</si>
  <si>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</si>
  <si>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</si>
  <si>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</si>
  <si>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</si>
  <si>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</si>
  <si>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</si>
  <si>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</si>
  <si>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</si>
  <si>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</si>
  <si>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</si>
  <si>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</si>
  <si>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</si>
  <si>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</si>
  <si>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</si>
  <si>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</si>
  <si>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</si>
  <si>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</si>
  <si>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</si>
  <si>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</si>
  <si>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</si>
  <si>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</si>
  <si>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</si>
  <si>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</si>
  <si>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</si>
  <si>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</si>
  <si>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</si>
  <si>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</si>
  <si>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</si>
  <si>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</si>
  <si>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</si>
  <si>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</si>
  <si>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</si>
  <si>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</si>
  <si>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</si>
  <si>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</si>
  <si>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</si>
  <si>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</si>
  <si>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</si>
  <si>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</si>
  <si>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</si>
  <si>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</si>
  <si>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</si>
  <si>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</si>
  <si>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</si>
  <si>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</si>
  <si>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</si>
  <si>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</si>
  <si>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</si>
  <si>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</si>
  <si>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</si>
  <si>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</si>
  <si>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</si>
  <si>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</si>
  <si>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</si>
  <si>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</si>
  <si>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</si>
  <si>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</si>
  <si>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</si>
  <si>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</si>
  <si>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</si>
  <si>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</si>
  <si>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</si>
  <si>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</si>
  <si>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</si>
  <si>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</si>
  <si>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</si>
  <si>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</si>
  <si>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</si>
  <si>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</si>
  <si>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</si>
  <si>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</si>
  <si>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</si>
  <si>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</si>
  <si>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</si>
  <si>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</si>
  <si>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</si>
  <si>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</si>
  <si>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</si>
  <si>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</si>
  <si>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</si>
  <si>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</si>
  <si>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</si>
  <si>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</si>
  <si>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</si>
  <si>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</si>
  <si>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</si>
  <si>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</si>
  <si>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</si>
  <si>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</si>
  <si>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</si>
  <si>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</si>
  <si>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</si>
  <si>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</si>
  <si>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</si>
  <si>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</si>
  <si>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</si>
  <si>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</si>
  <si>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</si>
  <si>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</si>
  <si>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</si>
  <si>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</si>
  <si>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</si>
  <si>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</si>
  <si>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</si>
  <si>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</si>
  <si>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</si>
  <si>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</si>
  <si>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</si>
  <si>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</si>
  <si>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</si>
  <si>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</si>
  <si>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</si>
  <si>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</si>
  <si>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</si>
  <si>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</si>
  <si>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</si>
  <si>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</si>
  <si>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</si>
  <si>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</si>
  <si>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</si>
  <si>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</si>
  <si>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</si>
  <si>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</si>
  <si>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</si>
  <si>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</si>
  <si>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</si>
  <si>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</si>
  <si>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</si>
  <si>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</si>
  <si>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</si>
  <si>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</si>
  <si>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</si>
  <si>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</si>
  <si>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</si>
  <si>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</si>
  <si>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</si>
  <si>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</si>
  <si>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</si>
  <si>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</si>
  <si>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</si>
  <si>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</si>
  <si>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</si>
  <si>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</si>
  <si>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</si>
  <si>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</si>
  <si>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</si>
  <si>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</si>
  <si>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</si>
  <si>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</si>
  <si>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</si>
  <si>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</si>
  <si>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</si>
  <si>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</si>
  <si>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</si>
  <si>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</si>
  <si>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</si>
  <si>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</si>
  <si>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</si>
  <si>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</si>
  <si>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</si>
  <si>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</si>
  <si>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</si>
  <si>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</si>
  <si>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</si>
  <si>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</si>
  <si>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</si>
  <si>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</si>
  <si>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</si>
  <si>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</si>
  <si>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</si>
  <si>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</si>
  <si>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</si>
  <si>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</si>
  <si>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</si>
  <si>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</si>
  <si>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</si>
  <si>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</si>
  <si>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</si>
  <si>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</si>
  <si>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</si>
  <si>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</si>
  <si>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</si>
  <si>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</si>
  <si>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</si>
  <si>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</si>
  <si>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</si>
  <si>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</si>
  <si>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</si>
  <si>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</si>
  <si>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</si>
  <si>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</si>
  <si>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</si>
  <si>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</si>
  <si>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</si>
  <si>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</si>
  <si>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</si>
  <si>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</si>
  <si>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</si>
  <si>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</si>
  <si>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</si>
  <si>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</si>
  <si>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</si>
  <si>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</si>
  <si>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</si>
  <si>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</si>
  <si>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</si>
  <si>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</si>
  <si>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</si>
  <si>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</si>
  <si>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</si>
  <si>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</si>
  <si>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</si>
  <si>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</si>
  <si>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</si>
  <si>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</si>
  <si>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</si>
  <si>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</si>
  <si>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</si>
  <si>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</si>
  <si>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</si>
  <si>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</si>
  <si>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</si>
  <si>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</si>
  <si>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</si>
  <si>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</si>
  <si>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</si>
  <si>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</si>
  <si>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</si>
  <si>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</si>
  <si>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</si>
  <si>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</si>
  <si>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</si>
  <si>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</si>
  <si>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</si>
  <si>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</si>
  <si>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</si>
  <si>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</si>
  <si>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</si>
  <si>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</si>
  <si>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</si>
  <si>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</si>
  <si>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</si>
  <si>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</si>
  <si>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</si>
  <si>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</si>
  <si>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</si>
  <si>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</si>
  <si>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</si>
  <si>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</si>
  <si>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</si>
  <si>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</si>
  <si>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</si>
  <si>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</si>
  <si>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</si>
  <si>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</si>
  <si>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</si>
  <si>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</si>
  <si>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</si>
  <si>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</si>
  <si>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</si>
  <si>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</si>
  <si>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</si>
  <si>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</si>
  <si>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</si>
  <si>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</si>
  <si>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</si>
  <si>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</si>
  <si>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</si>
  <si>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</si>
  <si>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</si>
  <si>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</si>
  <si>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</si>
  <si>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</si>
  <si>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</si>
  <si>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</si>
  <si>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</si>
  <si>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</si>
  <si>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</si>
  <si>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</si>
  <si>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</si>
  <si>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</si>
  <si>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</si>
  <si>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</si>
  <si>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</si>
  <si>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</si>
  <si>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</si>
  <si>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</si>
  <si>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</si>
  <si>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</si>
  <si>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</si>
  <si>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</si>
  <si>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</si>
  <si>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</si>
  <si>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</si>
  <si>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</si>
  <si>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</si>
  <si>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</si>
  <si>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</si>
  <si>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</si>
  <si>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</si>
  <si>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</si>
  <si>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</si>
  <si>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</si>
  <si>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</si>
  <si>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</si>
  <si>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</si>
  <si>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</si>
  <si>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</si>
  <si>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</si>
  <si>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</si>
  <si>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</si>
  <si>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</si>
  <si>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</si>
  <si>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</si>
  <si>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</si>
  <si>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</si>
  <si>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</si>
  <si>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</si>
  <si>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</si>
  <si>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</si>
  <si>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</si>
  <si>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</si>
  <si>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</si>
  <si>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</si>
  <si>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</si>
  <si>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</si>
  <si>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</si>
  <si>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</si>
  <si>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</si>
  <si>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</si>
  <si>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</si>
  <si>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</si>
  <si>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</si>
  <si>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</si>
  <si>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</si>
  <si>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</si>
  <si>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</si>
  <si>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</si>
  <si>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</si>
  <si>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</si>
  <si>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</si>
  <si>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</si>
  <si>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</si>
  <si>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</si>
  <si>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</si>
  <si>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</si>
  <si>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</si>
  <si>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</si>
  <si>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</si>
  <si>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</si>
  <si>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</si>
  <si>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</si>
  <si>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</si>
  <si>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</si>
  <si>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</si>
  <si>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</si>
  <si>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</si>
  <si>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</si>
  <si>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</si>
  <si>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</si>
  <si>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</si>
  <si>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</si>
  <si>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</si>
  <si>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</si>
  <si>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</si>
  <si>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</si>
  <si>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</si>
  <si>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</si>
  <si>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</si>
  <si>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</si>
  <si>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</si>
  <si>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</si>
  <si>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</si>
  <si>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</si>
  <si>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</si>
  <si>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</si>
  <si>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</si>
  <si>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</si>
  <si>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</si>
  <si>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</si>
  <si>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</si>
  <si>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</si>
  <si>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</si>
  <si>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</si>
  <si>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</si>
  <si>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</si>
  <si>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</si>
  <si>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</si>
  <si>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</si>
  <si>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</si>
  <si>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</si>
  <si>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</si>
  <si>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</si>
  <si>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</si>
  <si>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</si>
  <si>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</si>
  <si>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</si>
  <si>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</si>
  <si>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</si>
  <si>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</si>
  <si>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</si>
  <si>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</si>
  <si>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</si>
  <si>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</si>
  <si>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</si>
  <si>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</si>
  <si>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</si>
  <si>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</si>
  <si>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</si>
  <si>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</si>
  <si>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</si>
  <si>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</si>
  <si>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</si>
  <si>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</si>
  <si>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</si>
  <si>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</si>
  <si>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</si>
  <si>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</si>
  <si>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</si>
  <si>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</si>
  <si>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</si>
  <si>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</si>
  <si>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</si>
  <si>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</si>
  <si>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</si>
  <si>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</si>
  <si>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</si>
  <si>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</si>
  <si>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</si>
  <si>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</si>
  <si>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</si>
  <si>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</si>
  <si>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</si>
  <si>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</si>
  <si>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</si>
  <si>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</si>
  <si>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</si>
  <si>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</si>
  <si>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</si>
  <si>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</si>
  <si>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</si>
  <si>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</si>
  <si>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</si>
  <si>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</si>
  <si>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</si>
  <si>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</si>
  <si>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</si>
  <si>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</si>
  <si>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</si>
  <si>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</si>
  <si>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</si>
  <si>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</si>
  <si>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</si>
  <si>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</si>
  <si>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</si>
  <si>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</si>
  <si>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</si>
  <si>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</si>
  <si>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</si>
  <si>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</si>
  <si>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</si>
  <si>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</si>
  <si>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</si>
  <si>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</si>
  <si>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</si>
  <si>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</si>
  <si>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</si>
  <si>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</si>
  <si>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</si>
  <si>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</si>
  <si>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</si>
  <si>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</si>
  <si>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</si>
  <si>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</si>
  <si>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</si>
  <si>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</si>
  <si>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</si>
  <si>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</si>
  <si>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</si>
  <si>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</si>
  <si>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</si>
  <si>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</si>
  <si>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</si>
  <si>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</si>
  <si>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</si>
  <si>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</si>
  <si>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</si>
  <si>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</si>
  <si>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</si>
  <si>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</si>
  <si>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</si>
  <si>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</si>
  <si>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</si>
  <si>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</si>
  <si>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</si>
  <si>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</si>
  <si>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</si>
  <si>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</si>
  <si>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</si>
  <si>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</si>
  <si>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</si>
  <si>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</si>
  <si>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</si>
  <si>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</si>
  <si>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</si>
  <si>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</si>
  <si>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</si>
  <si>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</si>
  <si>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</si>
  <si>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</si>
  <si>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</si>
  <si>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</si>
  <si>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</si>
  <si>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</si>
  <si>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</si>
  <si>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</si>
  <si>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</si>
  <si>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</si>
  <si>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</si>
  <si>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</si>
  <si>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</si>
  <si>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</si>
  <si>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</si>
  <si>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</si>
  <si>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</si>
  <si>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</si>
  <si>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</si>
  <si>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</si>
  <si>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</si>
  <si>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</si>
  <si>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</si>
  <si>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</si>
  <si>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</si>
  <si>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</si>
  <si>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</si>
  <si>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</si>
  <si>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</si>
  <si>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</si>
  <si>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</si>
  <si>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</si>
  <si>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</si>
  <si>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</si>
  <si>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</si>
  <si>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</si>
  <si>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</si>
  <si>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</si>
  <si>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</si>
  <si>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</si>
  <si>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</si>
  <si>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</si>
  <si>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</si>
  <si>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</si>
  <si>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</si>
  <si>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</si>
  <si>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</si>
  <si>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</si>
  <si>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</si>
  <si>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</si>
  <si>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</si>
  <si>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</si>
  <si>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</si>
  <si>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</si>
  <si>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</si>
  <si>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</si>
  <si>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</si>
  <si>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</si>
  <si>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</si>
  <si>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</si>
  <si>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</si>
  <si>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</si>
  <si>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</si>
  <si>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</si>
  <si>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</si>
  <si>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</si>
  <si>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</si>
  <si>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</si>
  <si>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</si>
  <si>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</si>
  <si>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</si>
  <si>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</si>
  <si>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</si>
  <si>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</si>
  <si>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</si>
  <si>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</si>
  <si>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</si>
  <si>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</si>
  <si>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</si>
  <si>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</si>
  <si>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</si>
  <si>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</si>
  <si>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</si>
  <si>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</si>
  <si>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</si>
  <si>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</si>
  <si>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</si>
  <si>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</si>
  <si>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</si>
  <si>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</si>
  <si>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</si>
  <si>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</si>
  <si>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</si>
  <si>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</si>
  <si>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</si>
  <si>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</si>
  <si>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</si>
  <si>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</si>
  <si>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</si>
  <si>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</si>
  <si>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</si>
  <si>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</si>
  <si>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</si>
  <si>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</si>
  <si>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</si>
  <si>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</si>
  <si>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</si>
  <si>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</si>
  <si>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</si>
  <si>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</si>
  <si>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</si>
  <si>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</si>
  <si>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</si>
  <si>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</si>
  <si>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</si>
  <si>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</si>
  <si>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</si>
  <si>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</si>
  <si>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</si>
  <si>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</si>
  <si>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</si>
  <si>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</si>
  <si>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</si>
  <si>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</si>
  <si>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</si>
  <si>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</si>
  <si>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</si>
  <si>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</si>
  <si>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</si>
  <si>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</si>
  <si>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</si>
  <si>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</si>
  <si>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</si>
  <si>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</si>
  <si>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</si>
  <si>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</si>
  <si>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</si>
  <si>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</si>
  <si>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</si>
  <si>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</si>
  <si>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</si>
  <si>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</si>
  <si>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</si>
  <si>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</si>
  <si>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</si>
  <si>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</si>
  <si>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</si>
  <si>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</si>
  <si>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</si>
  <si>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</si>
  <si>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</si>
  <si>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</si>
  <si>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</si>
  <si>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</si>
  <si>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</si>
  <si>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</si>
  <si>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</si>
  <si>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</si>
  <si>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</si>
  <si>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</si>
  <si>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</si>
  <si>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</si>
  <si>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</si>
  <si>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</si>
  <si>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</si>
  <si>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</si>
  <si>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</si>
  <si>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</si>
  <si>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</si>
  <si>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</si>
  <si>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</si>
  <si>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</si>
  <si>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</si>
  <si>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</si>
  <si>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</si>
  <si>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</si>
  <si>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</si>
  <si>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</si>
  <si>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</si>
  <si>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</si>
  <si>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</si>
  <si>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</si>
  <si>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</si>
  <si>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</si>
  <si>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</si>
  <si>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</si>
  <si>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</si>
  <si>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</si>
  <si>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</si>
  <si>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</si>
  <si>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</si>
  <si>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</si>
  <si>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</si>
  <si>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</si>
  <si>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</si>
  <si>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</si>
  <si>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</si>
  <si>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</si>
  <si>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</si>
  <si>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</si>
  <si>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</si>
  <si>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</si>
  <si>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</si>
  <si>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</si>
  <si>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</si>
  <si>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</si>
  <si>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</si>
  <si>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</si>
  <si>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</si>
  <si>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</si>
  <si>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</si>
  <si>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</si>
  <si>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</si>
  <si>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</si>
  <si>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</si>
  <si>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</si>
  <si>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</si>
  <si>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</si>
  <si>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</si>
  <si>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</si>
  <si>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</si>
  <si>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</si>
  <si>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</si>
  <si>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</si>
  <si>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</si>
  <si>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</si>
  <si>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</si>
  <si>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</si>
  <si>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</si>
  <si>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</si>
  <si>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</si>
  <si>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</si>
  <si>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</si>
  <si>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</si>
  <si>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</si>
  <si>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</si>
  <si>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</si>
  <si>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</si>
  <si>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</si>
  <si>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</si>
  <si>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</si>
  <si>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</si>
  <si>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</si>
  <si>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</si>
  <si>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</si>
  <si>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</si>
  <si>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</si>
  <si>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</si>
  <si>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</si>
  <si>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</si>
  <si>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</si>
  <si>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</si>
  <si>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</si>
  <si>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</si>
  <si>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</si>
  <si>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</si>
  <si>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</si>
  <si>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</si>
  <si>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</si>
  <si>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</si>
  <si>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</si>
  <si>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</si>
  <si>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</si>
  <si>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</si>
  <si>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</si>
  <si>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</si>
  <si>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</si>
  <si>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</si>
  <si>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</si>
  <si>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</si>
  <si>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</si>
  <si>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</si>
  <si>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</si>
  <si>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</si>
  <si>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</si>
  <si>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</si>
  <si>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</si>
  <si>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</si>
  <si>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</si>
  <si>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</si>
  <si>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</si>
  <si>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</si>
  <si>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</si>
  <si>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</si>
  <si>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</si>
  <si>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</si>
  <si>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</si>
  <si>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</si>
  <si>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</si>
  <si>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</si>
  <si>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</si>
  <si>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</si>
  <si>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</si>
  <si>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</si>
  <si>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</si>
  <si>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</si>
  <si>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</si>
  <si>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</si>
  <si>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</si>
  <si>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</si>
  <si>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</si>
  <si>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</si>
  <si>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</si>
  <si>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</si>
  <si>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</si>
  <si>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</si>
  <si>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</si>
  <si>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</si>
  <si>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</si>
  <si>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</si>
  <si>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</si>
  <si>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</si>
  <si>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</si>
  <si>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</si>
  <si>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</si>
  <si>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</si>
  <si>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</si>
  <si>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</si>
  <si>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</si>
  <si>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</si>
  <si>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</si>
  <si>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</si>
  <si>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</si>
  <si>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</si>
  <si>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</si>
  <si>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</si>
  <si>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</si>
  <si>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</si>
  <si>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</si>
  <si>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</si>
  <si>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</si>
  <si>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</si>
  <si>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</si>
  <si>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</si>
  <si>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</si>
  <si>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</si>
  <si>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</si>
  <si>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</si>
  <si>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</si>
  <si>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</si>
  <si>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</si>
  <si>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</si>
  <si>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</si>
  <si>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</si>
  <si>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</si>
  <si>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</si>
  <si>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</si>
  <si>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</si>
  <si>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</si>
  <si>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</si>
  <si>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</si>
  <si>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</si>
  <si>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</si>
  <si>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</si>
  <si>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</si>
  <si>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</si>
  <si>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</si>
  <si>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</si>
  <si>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</si>
  <si>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</si>
  <si>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</si>
  <si>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</si>
  <si>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</si>
  <si>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</si>
  <si>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</si>
  <si>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</si>
  <si>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</si>
  <si>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</si>
  <si>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</si>
  <si>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</si>
  <si>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</si>
  <si>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</si>
  <si>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</si>
  <si>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</si>
  <si>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</si>
  <si>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</si>
  <si>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</si>
  <si>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</si>
  <si>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</si>
  <si>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</si>
  <si>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</si>
  <si>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</si>
  <si>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</si>
  <si>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</si>
  <si>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</si>
  <si>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</si>
  <si>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</si>
  <si>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</si>
  <si>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</si>
  <si>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</si>
  <si>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</si>
  <si>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</si>
  <si>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</si>
  <si>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</si>
  <si>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</si>
  <si>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</si>
  <si>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</si>
  <si>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</si>
  <si>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</si>
  <si>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</si>
  <si>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</si>
  <si>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</si>
  <si>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</si>
  <si>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</si>
  <si>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</si>
  <si>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</si>
  <si>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</si>
  <si>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</si>
  <si>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</si>
  <si>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</si>
  <si>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</si>
  <si>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</si>
  <si>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</si>
  <si>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</si>
  <si>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</si>
  <si>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</si>
  <si>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</si>
  <si>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</si>
  <si>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</si>
  <si>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</si>
  <si>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</si>
  <si>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</si>
  <si>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</si>
  <si>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</si>
  <si>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</si>
  <si>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</si>
  <si>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</si>
  <si>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</si>
  <si>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</si>
  <si>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</si>
  <si>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</si>
  <si>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</si>
  <si>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</si>
  <si>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</si>
  <si>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</si>
  <si>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</si>
  <si>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</si>
  <si>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</si>
  <si>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</si>
  <si>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</si>
  <si>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</si>
  <si>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</si>
  <si>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</si>
  <si>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</si>
  <si>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</si>
  <si>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</si>
  <si>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</si>
  <si>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</si>
  <si>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</si>
  <si>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</si>
  <si>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</si>
  <si>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</si>
  <si>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</si>
  <si>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</si>
  <si>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</si>
  <si>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</si>
  <si>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</si>
  <si>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</si>
  <si>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</si>
  <si>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</si>
  <si>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</si>
  <si>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</si>
  <si>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</si>
  <si>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</si>
  <si>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</si>
  <si>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</si>
  <si>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</si>
  <si>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</si>
  <si>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</si>
  <si>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</si>
  <si>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</si>
  <si>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</si>
  <si>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</si>
  <si>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</si>
  <si>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</si>
  <si>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</si>
  <si>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</si>
  <si>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</si>
  <si>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</si>
  <si>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</si>
  <si>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</si>
  <si>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</si>
  <si>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</si>
  <si>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</si>
  <si>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</si>
  <si>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</si>
  <si>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</si>
  <si>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</si>
  <si>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</si>
  <si>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</si>
  <si>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</si>
  <si>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</si>
  <si>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</si>
  <si>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</si>
  <si>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</si>
  <si>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</si>
  <si>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</si>
  <si>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</si>
  <si>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</si>
  <si>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</si>
  <si>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</si>
  <si>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</si>
  <si>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</si>
  <si>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</si>
  <si>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</si>
  <si>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</si>
  <si>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</si>
  <si>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</si>
  <si>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</si>
  <si>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</si>
  <si>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</si>
  <si>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</si>
  <si>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</si>
  <si>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</si>
  <si>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</si>
  <si>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</si>
  <si>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</si>
  <si>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</si>
  <si>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</si>
  <si>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</si>
  <si>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</si>
  <si>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</si>
  <si>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</si>
  <si>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</si>
  <si>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</si>
  <si>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</si>
  <si>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</si>
  <si>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</si>
  <si>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</si>
  <si>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</si>
  <si>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</si>
  <si>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</si>
  <si>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</si>
  <si>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</si>
  <si>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</si>
  <si>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</si>
  <si>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</si>
  <si>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</si>
  <si>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</si>
  <si>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</si>
  <si>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</si>
  <si>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</si>
  <si>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</si>
  <si>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</si>
  <si>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</si>
  <si>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</si>
  <si>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</si>
  <si>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</si>
  <si>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</si>
  <si>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</si>
  <si>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</si>
  <si>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</si>
  <si>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</si>
  <si>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</si>
  <si>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</si>
  <si>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</si>
  <si>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</si>
  <si>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</si>
  <si>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</si>
  <si>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</si>
  <si>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</si>
  <si>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</si>
  <si>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</si>
  <si>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</si>
  <si>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</si>
  <si>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</si>
  <si>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</si>
  <si>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</si>
  <si>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</si>
  <si>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</si>
  <si>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</si>
  <si>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</si>
  <si>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</si>
  <si>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</si>
  <si>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</si>
  <si>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</si>
  <si>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</si>
  <si>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</si>
  <si>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</si>
  <si>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</si>
  <si>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</si>
  <si>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</si>
  <si>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</si>
  <si>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</si>
  <si>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</si>
  <si>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</si>
  <si>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</si>
  <si>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</si>
  <si>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</si>
  <si>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</si>
  <si>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</si>
  <si>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</si>
  <si>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</si>
  <si>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</si>
  <si>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</si>
  <si>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</si>
  <si>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</si>
  <si>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</si>
  <si>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</si>
  <si>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</si>
  <si>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</si>
  <si>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</si>
  <si>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</si>
  <si>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</si>
  <si>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</si>
  <si>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</si>
  <si>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</si>
  <si>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</si>
  <si>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</si>
  <si>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</si>
  <si>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</si>
  <si>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</si>
  <si>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</si>
  <si>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</si>
  <si>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</si>
  <si>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</si>
  <si>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</si>
  <si>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</si>
  <si>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</si>
  <si>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</si>
  <si>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</si>
  <si>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</si>
  <si>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</si>
  <si>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</si>
  <si>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</si>
  <si>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</si>
  <si>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</si>
  <si>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</si>
  <si>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</si>
  <si>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</si>
  <si>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</si>
  <si>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</si>
  <si>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</si>
  <si>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</si>
  <si>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</si>
  <si>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</si>
  <si>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</si>
  <si>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</si>
  <si>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</si>
  <si>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</si>
  <si>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</si>
  <si>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</si>
  <si>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</si>
  <si>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</si>
  <si>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</si>
  <si>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</si>
  <si>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</si>
  <si>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</si>
  <si>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</si>
  <si>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</si>
  <si>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</si>
  <si>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</si>
  <si>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</si>
  <si>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</si>
  <si>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</si>
  <si>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</si>
  <si>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</si>
  <si>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</si>
  <si>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</si>
  <si>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</si>
  <si>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</si>
  <si>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</si>
  <si>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</si>
  <si>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</si>
  <si>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</si>
  <si>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</si>
  <si>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</si>
  <si>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</si>
  <si>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</si>
  <si>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</si>
  <si>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</si>
  <si>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</si>
  <si>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</si>
  <si>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</si>
  <si>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</si>
  <si>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</si>
  <si>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</si>
  <si>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</si>
  <si>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</si>
  <si>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</si>
  <si>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</si>
  <si>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</si>
  <si>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</si>
  <si>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</si>
  <si>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</si>
  <si>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</si>
  <si>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</si>
  <si>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</si>
  <si>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</si>
  <si>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</si>
  <si>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</si>
  <si>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</si>
  <si>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</si>
  <si>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</si>
  <si>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</si>
  <si>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</si>
  <si>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</si>
  <si>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</si>
  <si>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</si>
  <si>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</si>
  <si>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</si>
  <si>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</si>
  <si>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</si>
  <si>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</si>
  <si>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</si>
  <si>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</si>
  <si>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</si>
  <si>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</si>
  <si>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</si>
  <si>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</si>
  <si>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</si>
  <si>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</si>
  <si>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</si>
  <si>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</si>
  <si>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</si>
  <si>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</si>
  <si>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</si>
  <si>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</si>
  <si>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</si>
  <si>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</si>
  <si>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</si>
  <si>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</si>
  <si>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</si>
  <si>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</si>
  <si>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</si>
  <si>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</si>
  <si>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</si>
  <si>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</si>
  <si>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</si>
  <si>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</si>
  <si>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</si>
  <si>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</si>
  <si>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</si>
  <si>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</si>
  <si>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</si>
  <si>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</si>
  <si>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</si>
  <si>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</si>
  <si>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</si>
  <si>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</si>
  <si>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</si>
  <si>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</si>
  <si>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</si>
  <si>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</si>
  <si>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</si>
  <si>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</si>
  <si>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</si>
  <si>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</si>
  <si>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</si>
  <si>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</si>
  <si>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</si>
  <si>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</si>
  <si>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</si>
  <si>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</si>
  <si>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</si>
  <si>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</si>
  <si>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</si>
  <si>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</si>
  <si>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</si>
  <si>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</si>
  <si>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</si>
  <si>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</si>
  <si>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</si>
  <si>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</si>
  <si>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</si>
  <si>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</si>
  <si>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</si>
  <si>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</si>
  <si>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</si>
  <si>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</si>
  <si>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</si>
  <si>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</si>
  <si>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</si>
  <si>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</si>
  <si>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</si>
  <si>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</si>
  <si>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</si>
  <si>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</si>
  <si>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</si>
  <si>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</si>
  <si>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</si>
  <si>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</si>
  <si>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</si>
  <si>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</si>
  <si>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</si>
  <si>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</si>
  <si>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</si>
  <si>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</si>
  <si>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</si>
  <si>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</si>
  <si>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</si>
  <si>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</si>
  <si>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</si>
  <si>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</si>
  <si>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</si>
  <si>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</si>
  <si>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</si>
  <si>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</si>
  <si>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</si>
  <si>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</si>
  <si>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</si>
  <si>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</si>
  <si>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</si>
  <si>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</si>
  <si>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</si>
  <si>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</si>
  <si>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</si>
  <si>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</si>
  <si>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</si>
  <si>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</si>
  <si>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</si>
  <si>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</si>
  <si>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</si>
  <si>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</si>
  <si>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</si>
  <si>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</si>
  <si>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</si>
  <si>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</si>
  <si>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</si>
  <si>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</si>
  <si>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</si>
  <si>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</si>
  <si>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</si>
  <si>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</si>
  <si>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</si>
  <si>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</si>
  <si>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</si>
  <si>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</si>
  <si>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</si>
  <si>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</si>
  <si>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</si>
  <si>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</si>
  <si>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</si>
  <si>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</si>
  <si>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</si>
  <si>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</si>
  <si>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</si>
  <si>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</si>
  <si>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</si>
  <si>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</si>
  <si>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</si>
  <si>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</si>
  <si>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</si>
  <si>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</si>
  <si>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</si>
  <si>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</si>
  <si>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</si>
  <si>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</si>
  <si>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</si>
  <si>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</si>
  <si>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</si>
  <si>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</si>
  <si>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</si>
  <si>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</si>
  <si>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</si>
  <si>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</si>
  <si>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</si>
  <si>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</si>
  <si>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</si>
  <si>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</si>
  <si>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</si>
  <si>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</si>
  <si>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</si>
  <si>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</si>
  <si>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</si>
  <si>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</si>
  <si>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</si>
  <si>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</si>
  <si>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</si>
  <si>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</si>
  <si>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</si>
  <si>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</si>
  <si>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</si>
  <si>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</si>
  <si>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</si>
  <si>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</si>
  <si>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</si>
  <si>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</si>
  <si>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</si>
  <si>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</si>
  <si>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</si>
  <si>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</si>
  <si>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</si>
  <si>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</si>
  <si>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</si>
  <si>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</si>
  <si>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</si>
  <si>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</si>
  <si>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</si>
  <si>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</si>
  <si>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</si>
  <si>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</si>
  <si>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</si>
  <si>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</si>
  <si>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</si>
  <si>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</si>
  <si>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</si>
  <si>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</si>
  <si>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</si>
  <si>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</si>
  <si>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</si>
  <si>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</si>
  <si>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</si>
  <si>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</si>
  <si>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</si>
  <si>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</si>
  <si>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</si>
  <si>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</si>
  <si>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</si>
  <si>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</si>
  <si>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</si>
  <si>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</si>
  <si>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</si>
  <si>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</si>
  <si>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</si>
  <si>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</si>
  <si>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</si>
  <si>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</si>
  <si>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</si>
  <si>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</si>
  <si>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</si>
  <si>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</si>
  <si>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</si>
  <si>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</si>
  <si>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</si>
  <si>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</si>
  <si>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</si>
  <si>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</si>
  <si>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</si>
  <si>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</si>
  <si>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</si>
  <si>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</si>
  <si>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</si>
  <si>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</si>
  <si>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</si>
  <si>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</si>
  <si>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</si>
  <si>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</si>
  <si>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</si>
  <si>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</si>
  <si>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</si>
  <si>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</si>
  <si>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</si>
  <si>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</si>
  <si>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</si>
  <si>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</si>
  <si>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</si>
  <si>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</si>
  <si>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</si>
  <si>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</si>
  <si>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</si>
  <si>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</si>
  <si>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</si>
  <si>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</si>
  <si>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</si>
  <si>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</si>
  <si>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</si>
  <si>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</si>
  <si>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</si>
  <si>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</si>
  <si>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</si>
  <si>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</si>
  <si>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</si>
  <si>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</si>
  <si>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</si>
  <si>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</si>
  <si>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</si>
  <si>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</si>
  <si>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</si>
  <si>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</si>
  <si>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</si>
  <si>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</si>
  <si>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</si>
  <si>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</si>
  <si>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</si>
  <si>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</si>
  <si>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</si>
  <si>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</si>
  <si>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</si>
  <si>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</si>
  <si>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</si>
  <si>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</si>
  <si>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</si>
  <si>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</si>
  <si>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</si>
  <si>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</si>
  <si>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</si>
  <si>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</si>
  <si>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</si>
  <si>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</si>
  <si>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</si>
  <si>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</si>
  <si>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</si>
  <si>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</si>
  <si>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</si>
  <si>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</si>
  <si>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</si>
  <si>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</si>
  <si>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</si>
  <si>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</si>
  <si>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</si>
  <si>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</si>
  <si>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</si>
  <si>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</si>
  <si>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</si>
  <si>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</si>
  <si>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</si>
  <si>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</si>
  <si>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</si>
  <si>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</si>
  <si>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</si>
  <si>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</si>
  <si>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</si>
  <si>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</si>
  <si>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</si>
  <si>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</si>
  <si>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</si>
  <si>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</si>
  <si>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</si>
  <si>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</si>
  <si>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</si>
  <si>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</si>
  <si>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</si>
  <si>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</si>
  <si>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</si>
  <si>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</si>
  <si>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</si>
  <si>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</si>
  <si>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</si>
  <si>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</si>
  <si>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</si>
  <si>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</si>
  <si>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</si>
  <si>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</si>
  <si>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</si>
  <si>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</si>
  <si>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</si>
  <si>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</si>
  <si>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</si>
  <si>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</si>
  <si>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</si>
  <si>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</si>
  <si>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</si>
  <si>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</si>
  <si>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</si>
  <si>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</si>
  <si>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</si>
  <si>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</si>
  <si>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</si>
  <si>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</si>
  <si>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</si>
  <si>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</si>
  <si>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</si>
  <si>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</si>
  <si>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</si>
  <si>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</si>
  <si>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</si>
  <si>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</si>
  <si>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</si>
  <si>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</si>
  <si>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</si>
  <si>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</si>
  <si>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</si>
  <si>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</si>
  <si>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</si>
  <si>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</si>
  <si>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</si>
  <si>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</si>
  <si>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</si>
  <si>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</si>
  <si>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</si>
  <si>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</si>
  <si>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</si>
  <si>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</si>
  <si>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</si>
  <si>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</si>
  <si>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</si>
  <si>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</si>
  <si>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</si>
  <si>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</si>
  <si>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</si>
  <si>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</si>
  <si>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</si>
  <si>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</si>
  <si>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</si>
  <si>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</si>
  <si>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</si>
  <si>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</si>
  <si>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</si>
  <si>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</si>
  <si>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</si>
  <si>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</si>
  <si>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</si>
  <si>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</si>
  <si>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</si>
  <si>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</si>
  <si>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</si>
  <si>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</si>
  <si>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</si>
  <si>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</si>
  <si>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</si>
  <si>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</si>
  <si>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</si>
  <si>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</si>
  <si>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</si>
  <si>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</si>
  <si>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</si>
  <si>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</si>
  <si>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</si>
  <si>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</si>
  <si>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</si>
  <si>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</si>
  <si>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</si>
  <si>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</si>
  <si>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</si>
  <si>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</si>
  <si>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</si>
  <si>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</si>
  <si>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</si>
  <si>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</si>
  <si>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</si>
  <si>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</si>
  <si>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</si>
  <si>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</si>
  <si>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</si>
  <si>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</si>
  <si>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</si>
  <si>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</si>
  <si>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</si>
  <si>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</si>
  <si>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</si>
  <si>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</si>
  <si>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</si>
  <si>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</si>
  <si>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</si>
  <si>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</si>
  <si>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</si>
  <si>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</si>
  <si>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</si>
  <si>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</si>
  <si>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</si>
  <si>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</si>
  <si>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</si>
  <si>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</si>
  <si>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</si>
  <si>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</si>
  <si>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</si>
  <si>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</si>
  <si>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</si>
  <si>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</si>
  <si>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</si>
  <si>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</si>
  <si>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</si>
  <si>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</si>
  <si>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</si>
  <si>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</si>
  <si>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</si>
  <si>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</si>
  <si>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</si>
  <si>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</si>
  <si>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</si>
  <si>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</si>
  <si>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</si>
  <si>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</si>
  <si>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</si>
  <si>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</si>
  <si>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</si>
  <si>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</si>
  <si>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</si>
  <si>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</si>
  <si>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</si>
  <si>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</si>
  <si>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</si>
  <si>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</si>
  <si>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</si>
  <si>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</si>
  <si>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</si>
  <si>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</si>
  <si>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</si>
  <si>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</si>
  <si>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</si>
  <si>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</si>
  <si>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</si>
  <si>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</si>
  <si>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</si>
  <si>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</si>
  <si>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</si>
  <si>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</si>
  <si>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</si>
  <si>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</si>
  <si>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</si>
  <si>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</si>
  <si>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</si>
  <si>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</si>
  <si>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</si>
  <si>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</si>
  <si>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</si>
  <si>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</si>
  <si>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</si>
  <si>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</si>
  <si>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</si>
  <si>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</si>
  <si>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</si>
  <si>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</si>
  <si>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</si>
  <si>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</si>
  <si>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</si>
  <si>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</si>
  <si>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</si>
  <si>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</si>
  <si>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</si>
  <si>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</si>
  <si>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</si>
  <si>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</si>
  <si>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</si>
  <si>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</si>
  <si>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</si>
  <si>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</si>
  <si>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</si>
  <si>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</si>
  <si>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</si>
  <si>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</si>
  <si>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</si>
  <si>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</si>
  <si>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</si>
  <si>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</si>
  <si>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</si>
  <si>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</si>
  <si>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</si>
  <si>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</si>
  <si>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</si>
  <si>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</si>
  <si>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</si>
  <si>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</si>
  <si>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</si>
  <si>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</si>
  <si>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</si>
  <si>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</si>
  <si>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</si>
  <si>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</si>
  <si>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</si>
  <si>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</si>
  <si>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</si>
  <si>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</si>
  <si>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</si>
  <si>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</si>
  <si>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</si>
  <si>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</si>
  <si>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</si>
  <si>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</si>
  <si>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</si>
  <si>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</si>
  <si>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</si>
  <si>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</si>
  <si>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</si>
  <si>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</si>
  <si>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</si>
  <si>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</si>
  <si>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</si>
  <si>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</si>
  <si>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</si>
  <si>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</si>
  <si>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</si>
  <si>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</si>
  <si>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</si>
  <si>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</si>
  <si>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</si>
  <si>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</si>
  <si>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</si>
  <si>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</si>
  <si>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</si>
  <si>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</si>
  <si>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</si>
  <si>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</si>
  <si>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</si>
  <si>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</si>
  <si>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</si>
  <si>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</si>
  <si>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</si>
  <si>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</si>
  <si>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</si>
  <si>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</si>
  <si>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</si>
  <si>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</si>
  <si>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</si>
  <si>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</si>
  <si>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</si>
  <si>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</si>
  <si>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</si>
  <si>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</si>
  <si>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</si>
  <si>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</si>
  <si>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</si>
  <si>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</si>
  <si>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</si>
  <si>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</si>
  <si>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</si>
  <si>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</si>
  <si>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</si>
  <si>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</si>
  <si>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</si>
  <si>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</si>
  <si>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</si>
  <si>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</si>
  <si>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</si>
  <si>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</si>
  <si>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</si>
  <si>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</si>
  <si>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</si>
  <si>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</si>
  <si>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</si>
  <si>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</si>
  <si>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</si>
  <si>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</si>
  <si>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</si>
  <si>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</si>
  <si>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</si>
  <si>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</si>
  <si>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</si>
  <si>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</si>
  <si>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</si>
  <si>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</si>
  <si>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</si>
  <si>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</si>
  <si>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</si>
  <si>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</si>
  <si>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</si>
  <si>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</si>
  <si>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</si>
  <si>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</si>
  <si>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</si>
  <si>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</si>
  <si>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</si>
  <si>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</si>
  <si>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</si>
  <si>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</si>
  <si>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</si>
  <si>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</si>
  <si>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</si>
  <si>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</si>
  <si>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</si>
  <si>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</si>
  <si>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</si>
  <si>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</si>
  <si>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</si>
  <si>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</si>
  <si>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</si>
  <si>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</si>
  <si>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</si>
  <si>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</si>
  <si>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</si>
  <si>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</si>
  <si>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</si>
  <si>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</si>
  <si>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</si>
  <si>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</si>
  <si>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</si>
  <si>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</si>
  <si>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</si>
  <si>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</si>
  <si>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</si>
  <si>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</si>
  <si>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</si>
  <si>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</si>
  <si>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</si>
  <si>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</si>
  <si>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</si>
  <si>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</si>
  <si>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</si>
  <si>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</si>
  <si>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</si>
  <si>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</si>
  <si>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</si>
  <si>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</si>
  <si>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</si>
  <si>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</si>
  <si>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</si>
  <si>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</si>
  <si>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</si>
  <si>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</si>
  <si>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</si>
  <si>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</si>
  <si>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</si>
  <si>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</si>
  <si>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</si>
  <si>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</si>
  <si>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</si>
  <si>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</si>
  <si>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</si>
  <si>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</si>
  <si>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</si>
  <si>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</si>
  <si>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</si>
  <si>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</si>
  <si>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</si>
  <si>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</si>
  <si>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</si>
  <si>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</si>
  <si>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</si>
  <si>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</si>
  <si>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</si>
  <si>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</si>
  <si>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</si>
  <si>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</si>
  <si>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</si>
  <si>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</si>
  <si>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</si>
  <si>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</si>
  <si>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</si>
  <si>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</si>
  <si>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</si>
  <si>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</si>
  <si>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</si>
  <si>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</si>
  <si>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</si>
  <si>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</si>
  <si>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</si>
  <si>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</si>
  <si>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</si>
  <si>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</si>
  <si>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</si>
  <si>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</si>
  <si>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</si>
  <si>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</si>
  <si>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</si>
  <si>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</si>
  <si>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</si>
  <si>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</si>
  <si>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</si>
  <si>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</si>
  <si>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</si>
  <si>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</si>
  <si>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</si>
  <si>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</si>
  <si>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</si>
  <si>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</si>
  <si>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</si>
  <si>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</si>
  <si>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</si>
  <si>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</si>
  <si>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</si>
  <si>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</si>
  <si>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</si>
  <si>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</si>
  <si>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</si>
  <si>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</si>
  <si>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</si>
  <si>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</si>
  <si>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</si>
  <si>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</si>
  <si>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</si>
  <si>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</si>
  <si>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</si>
  <si>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</si>
  <si>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</si>
  <si>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</si>
  <si>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</si>
  <si>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</si>
  <si>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</si>
  <si>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</si>
  <si>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</si>
  <si>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</si>
  <si>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</si>
  <si>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</si>
  <si>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</si>
  <si>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</si>
  <si>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</si>
  <si>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</si>
  <si>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</si>
  <si>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</si>
  <si>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</si>
  <si>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</si>
  <si>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</si>
  <si>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</si>
  <si>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</si>
  <si>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</si>
  <si>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</si>
  <si>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</si>
  <si>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</si>
  <si>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</si>
  <si>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</si>
  <si>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</si>
  <si>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</si>
  <si>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</si>
  <si>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</si>
  <si>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</si>
  <si>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</si>
  <si>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</si>
  <si>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</si>
  <si>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</si>
  <si>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</si>
  <si>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</si>
  <si>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</si>
  <si>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</si>
  <si>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</si>
  <si>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</si>
  <si>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</si>
  <si>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</si>
  <si>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</si>
  <si>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</si>
  <si>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</si>
  <si>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</si>
  <si>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</si>
  <si>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</si>
  <si>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</si>
  <si>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</si>
  <si>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</si>
  <si>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</si>
  <si>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</si>
  <si>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</si>
  <si>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</si>
  <si>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</si>
  <si>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</si>
  <si>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</si>
  <si>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</si>
  <si>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</si>
  <si>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</si>
  <si>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</si>
  <si>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</si>
  <si>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</si>
  <si>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</si>
  <si>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</si>
  <si>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</si>
  <si>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</si>
  <si>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</si>
  <si>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</si>
  <si>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</si>
  <si>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</si>
  <si>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</si>
  <si>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</si>
  <si>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</si>
  <si>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</si>
  <si>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</si>
  <si>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</si>
  <si>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</si>
  <si>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</si>
  <si>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</si>
  <si>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</si>
  <si>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</si>
  <si>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</si>
  <si>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</si>
  <si>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</si>
  <si>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</si>
  <si>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</si>
  <si>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</si>
  <si>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</si>
  <si>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</si>
  <si>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</si>
  <si>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</si>
  <si>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</si>
  <si>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</si>
  <si>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</si>
  <si>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</si>
  <si>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</si>
  <si>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</si>
  <si>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</si>
  <si>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</si>
  <si>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</si>
  <si>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</si>
  <si>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</si>
  <si>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</si>
  <si>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</si>
  <si>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</si>
  <si>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</si>
  <si>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</si>
  <si>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</si>
  <si>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</si>
  <si>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</si>
  <si>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</si>
  <si>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</si>
  <si>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</si>
  <si>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</si>
  <si>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</si>
  <si>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</si>
  <si>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</si>
  <si>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</si>
  <si>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</si>
  <si>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</si>
  <si>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</si>
  <si>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</si>
  <si>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</si>
  <si>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</si>
  <si>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</si>
  <si>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</si>
  <si>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</si>
  <si>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</si>
  <si>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</si>
  <si>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</si>
  <si>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</si>
  <si>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</si>
  <si>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</si>
  <si>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</si>
  <si>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</si>
  <si>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</si>
  <si>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</si>
  <si>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</si>
  <si>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</si>
  <si>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</si>
  <si>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</si>
  <si>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</si>
  <si>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</si>
  <si>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</si>
  <si>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</si>
  <si>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</si>
  <si>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</si>
  <si>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</si>
  <si>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</si>
  <si>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</si>
  <si>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</si>
  <si>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</si>
  <si>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</si>
  <si>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</si>
  <si>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</si>
  <si>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</si>
  <si>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</si>
  <si>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</si>
  <si>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</si>
  <si>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</si>
  <si>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</si>
  <si>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</si>
  <si>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</si>
  <si>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</si>
  <si>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</si>
  <si>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</si>
  <si>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</si>
  <si>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</si>
  <si>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</si>
  <si>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</si>
  <si>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</si>
  <si>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</si>
  <si>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</si>
  <si>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</si>
  <si>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</si>
  <si>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</si>
  <si>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</si>
  <si>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</si>
  <si>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</si>
  <si>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</si>
  <si>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</si>
  <si>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</si>
  <si>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</si>
  <si>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</si>
  <si>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</si>
  <si>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</si>
  <si>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</si>
  <si>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</si>
  <si>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</si>
  <si>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</si>
  <si>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</si>
  <si>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</si>
  <si>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</si>
  <si>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</si>
  <si>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</si>
  <si>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</si>
  <si>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</si>
  <si>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</si>
  <si>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</si>
  <si>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</si>
  <si>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</si>
  <si>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</si>
  <si>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</si>
  <si>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</si>
  <si>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</si>
  <si>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</si>
  <si>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</si>
  <si>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</si>
  <si>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</si>
  <si>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</si>
  <si>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</si>
  <si>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</si>
  <si>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</si>
  <si>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</si>
  <si>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</si>
  <si>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</si>
  <si>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</si>
  <si>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</si>
  <si>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</si>
  <si>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</si>
  <si>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</si>
  <si>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</si>
  <si>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</si>
  <si>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</si>
  <si>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</si>
  <si>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</si>
  <si>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</si>
  <si>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</si>
  <si>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</si>
  <si>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</si>
  <si>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</si>
  <si>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</si>
  <si>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</si>
  <si>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</si>
  <si>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</si>
  <si>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</si>
  <si>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</si>
  <si>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</si>
  <si>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</si>
  <si>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</si>
  <si>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</si>
  <si>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</si>
  <si>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</si>
  <si>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</si>
  <si>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</si>
  <si>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</si>
  <si>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</si>
  <si>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</si>
  <si>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</si>
  <si>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</si>
  <si>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</si>
  <si>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</si>
  <si>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</si>
  <si>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</si>
  <si>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</si>
  <si>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</si>
  <si>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</si>
  <si>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</si>
  <si>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</si>
  <si>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</si>
  <si>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</si>
  <si>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</si>
  <si>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</si>
  <si>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</si>
  <si>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</si>
  <si>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</si>
  <si>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</si>
  <si>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</si>
  <si>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</si>
  <si>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</si>
  <si>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</si>
  <si>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</si>
  <si>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</si>
  <si>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</si>
  <si>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</si>
  <si>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</si>
  <si>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</si>
  <si>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</si>
  <si>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</si>
  <si>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</si>
  <si>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</si>
  <si>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</si>
  <si>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</si>
  <si>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</si>
  <si>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</si>
  <si>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</si>
  <si>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</si>
  <si>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</si>
  <si>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</si>
  <si>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</si>
  <si>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</si>
  <si>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</si>
  <si>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</si>
  <si>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</si>
  <si>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</si>
  <si>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</si>
  <si>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</si>
  <si>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</si>
  <si>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</si>
  <si>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</si>
  <si>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</si>
  <si>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</si>
  <si>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</si>
  <si>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</si>
  <si>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</si>
  <si>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</si>
  <si>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</si>
  <si>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</si>
  <si>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</si>
  <si>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</si>
  <si>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</si>
  <si>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</si>
  <si>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</si>
  <si>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</si>
  <si>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</si>
  <si>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</si>
  <si>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</si>
  <si>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</si>
  <si>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</si>
  <si>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</si>
  <si>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</si>
  <si>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</si>
  <si>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</si>
  <si>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</si>
  <si>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</si>
  <si>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</si>
  <si>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</si>
  <si>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</si>
  <si>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</si>
  <si>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</si>
  <si>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</si>
  <si>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</si>
  <si>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</si>
  <si>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</si>
  <si>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</si>
  <si>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</si>
  <si>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</si>
  <si>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</si>
  <si>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</si>
  <si>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</si>
  <si>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</si>
  <si>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</si>
  <si>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</si>
  <si>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</si>
  <si>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</si>
  <si>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</si>
  <si>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</si>
  <si>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</si>
  <si>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</si>
  <si>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</si>
  <si>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</si>
  <si>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</si>
  <si>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</si>
  <si>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</si>
  <si>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</si>
  <si>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</si>
  <si>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</si>
  <si>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</si>
  <si>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</si>
  <si>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</si>
  <si>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</si>
  <si>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</si>
  <si>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</si>
  <si>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</si>
  <si>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</si>
  <si>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</si>
  <si>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</si>
  <si>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</si>
  <si>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</si>
  <si>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</si>
  <si>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</si>
  <si>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</si>
  <si>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</si>
  <si>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</si>
  <si>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</si>
  <si>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</si>
  <si>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</si>
  <si>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</si>
  <si>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</si>
  <si>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</si>
  <si>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</si>
  <si>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</si>
  <si>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</si>
  <si>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</si>
  <si>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</si>
  <si>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</si>
  <si>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</si>
  <si>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</si>
  <si>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</si>
  <si>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</si>
  <si>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</si>
  <si>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</si>
  <si>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</si>
  <si>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</si>
  <si>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</si>
  <si>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</si>
  <si>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</si>
  <si>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</si>
  <si>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</si>
  <si>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</si>
  <si>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</si>
  <si>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</si>
  <si>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</si>
  <si>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</si>
  <si>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</si>
  <si>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</si>
  <si>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</si>
  <si>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</si>
  <si>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</si>
  <si>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</si>
  <si>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</si>
  <si>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</si>
  <si>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</si>
  <si>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</si>
  <si>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</si>
  <si>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</si>
  <si>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</si>
  <si>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</si>
  <si>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</si>
  <si>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</si>
  <si>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</si>
  <si>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</si>
  <si>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</si>
  <si>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</si>
  <si>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</si>
  <si>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</si>
  <si>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</si>
  <si>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</si>
  <si>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</si>
  <si>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</si>
  <si>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</si>
  <si>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</si>
  <si>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</si>
  <si>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</si>
  <si>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</si>
  <si>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</si>
  <si>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</si>
  <si>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</si>
  <si>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</si>
  <si>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</si>
  <si>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</si>
  <si>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</si>
  <si>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</si>
  <si>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</si>
  <si>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</si>
  <si>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</si>
  <si>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</si>
  <si>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</si>
  <si>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</si>
  <si>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</si>
  <si>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</si>
  <si>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</si>
  <si>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</si>
  <si>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</si>
  <si>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</si>
  <si>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</si>
  <si>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</si>
  <si>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</si>
  <si>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</si>
  <si>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</si>
  <si>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</si>
  <si>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</si>
  <si>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</si>
  <si>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</si>
  <si>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</si>
  <si>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</si>
  <si>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</si>
  <si>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</si>
  <si>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</si>
  <si>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</si>
  <si>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</si>
  <si>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</si>
  <si>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</si>
  <si>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</si>
  <si>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</si>
  <si>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</si>
  <si>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</si>
  <si>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</si>
  <si>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</si>
  <si>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</si>
  <si>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</si>
  <si>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</si>
  <si>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</si>
  <si>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</si>
  <si>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</si>
  <si>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</si>
  <si>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</si>
  <si>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</si>
  <si>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</si>
  <si>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</si>
  <si>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</si>
  <si>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</si>
  <si>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</si>
  <si>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</si>
  <si>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</si>
  <si>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</si>
  <si>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</si>
  <si>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</si>
  <si>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</si>
  <si>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</si>
  <si>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</si>
  <si>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</si>
  <si>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</si>
  <si>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</si>
  <si>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</si>
  <si>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</si>
  <si>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</si>
  <si>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</si>
  <si>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</si>
  <si>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</si>
  <si>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</si>
  <si>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</si>
  <si>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</si>
  <si>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</si>
  <si>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</si>
  <si>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</si>
  <si>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</si>
  <si>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</si>
  <si>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</si>
  <si>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</si>
  <si>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</si>
  <si>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</si>
  <si>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</si>
  <si>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</si>
  <si>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</si>
  <si>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</si>
  <si>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</si>
  <si>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</si>
  <si>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</si>
  <si>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</si>
  <si>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</si>
  <si>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</si>
  <si>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</si>
  <si>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</si>
  <si>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</si>
  <si>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</si>
  <si>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</si>
  <si>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</si>
  <si>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</si>
  <si>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</si>
  <si>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</si>
  <si>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</si>
  <si>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</si>
  <si>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</si>
  <si>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</si>
  <si>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</si>
  <si>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</si>
  <si>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</si>
  <si>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</si>
  <si>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</si>
  <si>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</si>
  <si>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</si>
  <si>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</si>
  <si>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</si>
  <si>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</si>
  <si>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</si>
  <si>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</si>
  <si>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</si>
  <si>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</si>
  <si>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</si>
  <si>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</si>
  <si>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</si>
  <si>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</si>
  <si>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</si>
  <si>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</si>
  <si>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</si>
  <si>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</si>
  <si>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</si>
  <si>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</si>
  <si>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</si>
  <si>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</si>
  <si>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</si>
  <si>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</si>
  <si>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</si>
  <si>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</si>
  <si>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</si>
  <si>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</si>
  <si>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</si>
  <si>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</si>
  <si>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</si>
  <si>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</si>
  <si>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</si>
  <si>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</si>
  <si>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</si>
  <si>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</si>
  <si>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</si>
  <si>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</si>
  <si>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</si>
  <si>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</si>
  <si>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</si>
  <si>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</si>
  <si>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</si>
  <si>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</si>
  <si>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</si>
  <si>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</si>
  <si>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</si>
  <si>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</si>
  <si>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</si>
  <si>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</si>
  <si>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</si>
  <si>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</si>
  <si>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</si>
  <si>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</si>
  <si>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</si>
  <si>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</si>
  <si>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</si>
  <si>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</si>
  <si>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</si>
  <si>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</si>
  <si>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</si>
  <si>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</si>
  <si>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</si>
  <si>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</si>
  <si>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</si>
  <si>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</si>
  <si>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</si>
  <si>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</si>
  <si>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</si>
  <si>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</si>
  <si>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</si>
  <si>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</si>
  <si>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</si>
  <si>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</si>
  <si>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</si>
  <si>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</si>
  <si>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</si>
  <si>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</si>
  <si>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</si>
  <si>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</si>
  <si>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</si>
  <si>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</si>
  <si>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</si>
  <si>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</si>
  <si>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</si>
  <si>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</si>
  <si>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</si>
  <si>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</si>
  <si>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</si>
  <si>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</si>
  <si>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</si>
  <si>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</si>
  <si>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</si>
  <si>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</si>
  <si>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</si>
  <si>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</si>
  <si>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</si>
  <si>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</si>
  <si>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</si>
  <si>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</si>
  <si>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</si>
  <si>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</si>
  <si>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</si>
  <si>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</si>
  <si>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</si>
  <si>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</si>
  <si>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</si>
  <si>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</si>
  <si>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</si>
  <si>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</si>
  <si>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</si>
  <si>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</si>
  <si>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</si>
  <si>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</si>
  <si>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</si>
  <si>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</si>
  <si>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</si>
  <si>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</si>
  <si>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</si>
  <si>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</si>
  <si>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</si>
  <si>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</si>
  <si>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</si>
  <si>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</si>
  <si>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</si>
  <si>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</si>
  <si>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</si>
  <si>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</si>
  <si>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</si>
  <si>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</si>
  <si>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</si>
  <si>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</si>
  <si>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</si>
  <si>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</si>
  <si>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</si>
  <si>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</si>
  <si>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</si>
  <si>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</si>
  <si>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</si>
  <si>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</si>
  <si>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</si>
  <si>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</si>
  <si>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</si>
  <si>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</si>
  <si>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</si>
  <si>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</si>
  <si>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</si>
  <si>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</si>
  <si>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</si>
  <si>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</si>
  <si>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</si>
  <si>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</si>
  <si>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</si>
  <si>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</si>
  <si>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</si>
  <si>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</si>
  <si>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</si>
  <si>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</si>
  <si>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</si>
  <si>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</si>
  <si>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</si>
  <si>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</si>
  <si>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</si>
  <si>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</si>
  <si>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</si>
  <si>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</si>
  <si>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</si>
  <si>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</si>
  <si>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</si>
  <si>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</si>
  <si>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</si>
  <si>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</si>
  <si>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</si>
  <si>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</si>
  <si>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</si>
  <si>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</si>
  <si>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</si>
  <si>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</si>
  <si>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</si>
  <si>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</si>
  <si>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</si>
  <si>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</si>
  <si>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</si>
  <si>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</si>
  <si>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</si>
  <si>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</si>
  <si>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</si>
  <si>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</si>
  <si>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</si>
  <si>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</si>
  <si>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</si>
  <si>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</si>
  <si>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</si>
  <si>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</si>
  <si>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</si>
  <si>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</si>
  <si>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</si>
  <si>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</si>
  <si>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</si>
  <si>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</si>
  <si>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</si>
  <si>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</si>
  <si>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</si>
  <si>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</si>
  <si>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</si>
  <si>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</si>
  <si>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</si>
  <si>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</si>
  <si>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</si>
  <si>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</si>
  <si>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</si>
  <si>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</si>
  <si>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</si>
  <si>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</si>
  <si>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</si>
  <si>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</si>
  <si>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</si>
  <si>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</si>
  <si>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</si>
  <si>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</si>
  <si>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</si>
  <si>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</si>
  <si>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</si>
  <si>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</si>
  <si>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</si>
  <si>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</si>
  <si>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</si>
  <si>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</si>
  <si>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</si>
  <si>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</si>
  <si>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</si>
  <si>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</si>
  <si>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</si>
  <si>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</si>
  <si>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</si>
  <si>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</si>
  <si>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</si>
  <si>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</si>
  <si>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</si>
  <si>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</si>
  <si>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</si>
  <si>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</si>
  <si>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</si>
  <si>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</si>
  <si>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</si>
  <si>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</si>
  <si>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</si>
  <si>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</si>
  <si>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</si>
  <si>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</si>
  <si>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</si>
  <si>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</si>
  <si>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</si>
  <si>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</si>
  <si>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</si>
  <si>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</si>
  <si>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</si>
  <si>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</si>
  <si>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</si>
  <si>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</si>
  <si>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</si>
  <si>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</si>
  <si>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</si>
  <si>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</si>
  <si>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</si>
  <si>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</si>
  <si>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</si>
  <si>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</si>
  <si>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</si>
  <si>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</si>
  <si>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</si>
  <si>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</si>
  <si>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</si>
  <si>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</si>
  <si>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</si>
  <si>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</si>
  <si>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</si>
  <si>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</si>
  <si>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</si>
  <si>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</si>
  <si>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</si>
  <si>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</si>
  <si>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</si>
  <si>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</si>
  <si>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</si>
  <si>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</si>
  <si>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</si>
  <si>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</si>
  <si>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</si>
  <si>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</si>
  <si>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</si>
  <si>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</si>
  <si>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</si>
  <si>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</si>
  <si>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</si>
  <si>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</si>
  <si>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</si>
  <si>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</si>
  <si>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</si>
  <si>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</si>
  <si>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</si>
  <si>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</si>
  <si>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</si>
  <si>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</si>
  <si>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</si>
  <si>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</si>
  <si>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</si>
  <si>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</si>
  <si>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</si>
  <si>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</si>
  <si>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</si>
  <si>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</si>
  <si>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</si>
  <si>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</si>
  <si>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</si>
  <si>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</si>
  <si>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</si>
  <si>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</si>
  <si>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</si>
  <si>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</si>
  <si>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</si>
  <si>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</si>
  <si>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</si>
  <si>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</si>
  <si>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</si>
  <si>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</si>
  <si>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</si>
  <si>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</si>
  <si>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</si>
  <si>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</si>
  <si>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</si>
  <si>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</si>
  <si>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</si>
  <si>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</si>
  <si>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</si>
  <si>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</si>
  <si>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</si>
  <si>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</si>
  <si>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</si>
  <si>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</si>
  <si>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</si>
  <si>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</si>
  <si>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</si>
  <si>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</si>
  <si>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</si>
  <si>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</si>
  <si>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</si>
  <si>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</si>
  <si>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</si>
  <si>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</si>
  <si>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</si>
  <si>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</si>
  <si>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</si>
  <si>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</si>
  <si>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</si>
  <si>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</si>
  <si>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</si>
  <si>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</si>
  <si>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</si>
  <si>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</si>
  <si>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</si>
  <si>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</si>
  <si>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</si>
  <si>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</si>
  <si>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</si>
  <si>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</si>
  <si>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</si>
  <si>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</si>
  <si>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</si>
  <si>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</si>
  <si>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</si>
  <si>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</si>
  <si>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</si>
  <si>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</si>
  <si>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</si>
  <si>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</si>
  <si>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</si>
  <si>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</si>
  <si>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</si>
  <si>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</si>
  <si>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</si>
  <si>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</si>
  <si>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</si>
  <si>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</si>
  <si>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</si>
  <si>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</si>
  <si>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</si>
  <si>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</si>
  <si>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</si>
  <si>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</si>
  <si>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</si>
  <si>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</si>
  <si>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</si>
  <si>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</si>
  <si>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</si>
  <si>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</si>
  <si>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</si>
  <si>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</si>
  <si>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</si>
  <si>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</si>
  <si>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</si>
  <si>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</si>
  <si>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</si>
  <si>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</si>
  <si>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</si>
  <si>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</si>
  <si>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</si>
  <si>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</si>
  <si>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</si>
  <si>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</si>
  <si>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</si>
  <si>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</si>
  <si>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</si>
  <si>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</si>
  <si>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</si>
  <si>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</si>
  <si>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</si>
  <si>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</si>
  <si>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</si>
  <si>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</si>
  <si>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</si>
  <si>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</si>
  <si>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</si>
  <si>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</si>
  <si>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</si>
  <si>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</si>
  <si>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</si>
  <si>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</si>
  <si>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</si>
  <si>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</si>
  <si>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</si>
  <si>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</si>
  <si>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</si>
  <si>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</si>
  <si>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</si>
  <si>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</si>
  <si>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</si>
  <si>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</si>
  <si>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</si>
  <si>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</si>
  <si>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</si>
  <si>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</si>
  <si>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</si>
  <si>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</si>
  <si>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</si>
  <si>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</si>
  <si>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</si>
  <si>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</si>
  <si>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</si>
  <si>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</si>
  <si>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</si>
  <si>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</si>
  <si>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</si>
  <si>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</si>
  <si>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</si>
  <si>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</si>
  <si>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</si>
  <si>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</si>
  <si>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</si>
  <si>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</si>
  <si>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</si>
  <si>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</si>
  <si>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</si>
  <si>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</si>
  <si>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</si>
  <si>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</si>
  <si>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</si>
  <si>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</si>
  <si>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</si>
  <si>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</si>
  <si>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</si>
  <si>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</si>
  <si>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</si>
  <si>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</si>
  <si>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</si>
  <si>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</si>
  <si>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</si>
  <si>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</si>
  <si>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</si>
  <si>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</si>
  <si>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</si>
  <si>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</si>
  <si>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</si>
  <si>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</si>
  <si>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</si>
  <si>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</si>
  <si>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</si>
  <si>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</si>
  <si>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</si>
  <si>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</si>
  <si>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</si>
  <si>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</si>
  <si>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</si>
  <si>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</si>
  <si>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</si>
  <si>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</si>
  <si>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</si>
  <si>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</si>
  <si>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</si>
  <si>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</si>
  <si>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</si>
  <si>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</si>
  <si>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</si>
  <si>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</si>
  <si>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</si>
  <si>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</si>
  <si>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</si>
  <si>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</si>
  <si>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</si>
  <si>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</si>
  <si>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</si>
  <si>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</si>
  <si>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</si>
  <si>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</si>
  <si>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</si>
  <si>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</si>
  <si>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</si>
  <si>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</si>
  <si>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</si>
  <si>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</si>
  <si>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</si>
  <si>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</si>
  <si>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</si>
  <si>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</si>
  <si>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</si>
  <si>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</si>
  <si>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</si>
  <si>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</si>
  <si>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</si>
  <si>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</si>
  <si>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</si>
  <si>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</si>
  <si>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</si>
  <si>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</si>
  <si>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</si>
  <si>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</si>
  <si>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</si>
  <si>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</si>
  <si>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</si>
  <si>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</si>
  <si>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</si>
  <si>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</si>
  <si>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</si>
  <si>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</si>
  <si>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</si>
  <si>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</si>
  <si>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</si>
  <si>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</si>
  <si>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</si>
  <si>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</si>
  <si>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</si>
  <si>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</si>
  <si>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</si>
  <si>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</si>
  <si>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</si>
  <si>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</si>
  <si>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</si>
  <si>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</si>
  <si>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</si>
  <si>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</si>
  <si>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</si>
  <si>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</si>
  <si>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</si>
  <si>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</si>
  <si>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</si>
  <si>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</si>
  <si>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</si>
  <si>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</si>
  <si>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</si>
  <si>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</si>
  <si>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</si>
  <si>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</si>
  <si>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</si>
  <si>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</si>
  <si>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</si>
  <si>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</si>
  <si>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</si>
  <si>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</si>
  <si>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</si>
  <si>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</si>
  <si>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</si>
  <si>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</si>
  <si>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</si>
  <si>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</si>
  <si>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</si>
  <si>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</si>
  <si>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</si>
  <si>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</si>
  <si>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</si>
  <si>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</si>
  <si>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</si>
  <si>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</si>
  <si>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</si>
  <si>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</si>
  <si>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</si>
  <si>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</si>
  <si>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</si>
  <si>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</si>
  <si>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</si>
  <si>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</si>
  <si>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</si>
  <si>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</si>
  <si>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</si>
  <si>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</si>
  <si>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</si>
  <si>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</si>
  <si>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</si>
  <si>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</si>
  <si>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</si>
  <si>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</si>
  <si>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</si>
  <si>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</si>
  <si>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</si>
  <si>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</si>
  <si>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</si>
  <si>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</si>
  <si>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</si>
  <si>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</si>
  <si>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</si>
  <si>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</si>
  <si>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</si>
  <si>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</si>
  <si>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</si>
  <si>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</si>
  <si>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</si>
  <si>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</si>
  <si>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</si>
  <si>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</si>
  <si>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</si>
  <si>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</si>
  <si>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</si>
  <si>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</si>
  <si>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</si>
  <si>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</si>
  <si>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</si>
  <si>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</si>
  <si>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</si>
  <si>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</si>
  <si>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</si>
  <si>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</si>
  <si>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</si>
  <si>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</si>
  <si>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</si>
  <si>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</si>
  <si>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</si>
  <si>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</si>
  <si>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</si>
  <si>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</si>
  <si>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</si>
  <si>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</si>
  <si>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</si>
  <si>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</si>
  <si>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</si>
  <si>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</si>
  <si>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</si>
  <si>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</si>
  <si>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</si>
  <si>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</si>
  <si>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</si>
  <si>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</si>
  <si>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</si>
  <si>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</si>
  <si>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</si>
  <si>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</si>
  <si>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</si>
  <si>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</si>
  <si>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</si>
  <si>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</si>
  <si>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</si>
  <si>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</si>
  <si>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</si>
  <si>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</si>
  <si>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</si>
  <si>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</si>
  <si>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</si>
  <si>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</si>
  <si>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</si>
  <si>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</si>
  <si>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</si>
  <si>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</si>
  <si>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</si>
  <si>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</si>
  <si>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</si>
  <si>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</si>
  <si>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</si>
  <si>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</si>
  <si>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</si>
  <si>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</si>
  <si>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</si>
  <si>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</si>
  <si>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</si>
  <si>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</si>
  <si>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</si>
  <si>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</si>
  <si>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</si>
  <si>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</si>
  <si>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</si>
  <si>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</si>
  <si>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</si>
  <si>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</si>
  <si>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</si>
  <si>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</si>
  <si>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</si>
  <si>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</si>
  <si>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</si>
  <si>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</si>
  <si>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</si>
  <si>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</si>
  <si>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</si>
  <si>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</si>
  <si>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</si>
  <si>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</si>
  <si>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</si>
  <si>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</si>
  <si>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</si>
  <si>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</si>
  <si>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</si>
  <si>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</si>
  <si>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</si>
  <si>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</si>
  <si>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</si>
  <si>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</si>
  <si>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</si>
  <si>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</si>
  <si>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</si>
  <si>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</si>
  <si>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</si>
  <si>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</si>
  <si>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</si>
  <si>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</si>
  <si>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</si>
  <si>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</si>
  <si>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</si>
  <si>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</si>
  <si>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</si>
  <si>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</si>
  <si>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</si>
  <si>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</si>
  <si>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</si>
  <si>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</si>
  <si>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</si>
  <si>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</si>
  <si>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</si>
  <si>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</si>
  <si>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</si>
  <si>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</si>
  <si>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</si>
  <si>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</si>
  <si>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</si>
  <si>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</si>
  <si>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</si>
  <si>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</si>
  <si>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</si>
  <si>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</si>
  <si>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</si>
  <si>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</si>
  <si>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</si>
  <si>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</si>
  <si>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</si>
  <si>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</si>
  <si>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</si>
  <si>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</si>
  <si>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</si>
  <si>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</si>
  <si>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</si>
  <si>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</si>
  <si>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</si>
  <si>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</si>
  <si>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</si>
  <si>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</si>
  <si>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</si>
  <si>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</si>
  <si>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</si>
  <si>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</si>
  <si>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</si>
  <si>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</si>
  <si>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</si>
  <si>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</si>
  <si>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</si>
  <si>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</si>
  <si>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</si>
  <si>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</si>
  <si>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</si>
  <si>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</si>
  <si>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</si>
  <si>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</si>
  <si>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</si>
  <si>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</si>
  <si>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</si>
  <si>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</si>
  <si>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</si>
  <si>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</si>
  <si>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</si>
  <si>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</si>
  <si>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</si>
  <si>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</si>
  <si>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</si>
  <si>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</si>
  <si>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</si>
  <si>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</si>
  <si>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</si>
  <si>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</si>
  <si>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</si>
  <si>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</si>
  <si>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</si>
  <si>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</si>
  <si>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</si>
  <si>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</si>
  <si>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</si>
  <si>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</si>
  <si>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</si>
  <si>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</si>
  <si>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</si>
  <si>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</si>
  <si>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</si>
  <si>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</si>
  <si>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</si>
  <si>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</si>
  <si>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</si>
  <si>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</si>
  <si>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</si>
  <si>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</si>
  <si>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</si>
  <si>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</si>
  <si>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</si>
  <si>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</si>
  <si>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</si>
  <si>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</si>
  <si>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</si>
  <si>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</si>
  <si>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</si>
  <si>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</si>
  <si>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</si>
  <si>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</si>
  <si>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</si>
  <si>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</si>
  <si>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</si>
  <si>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</si>
  <si>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</si>
  <si>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</si>
  <si>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</si>
  <si>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</si>
  <si>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</si>
  <si>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</si>
  <si>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</si>
  <si>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</si>
  <si>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</si>
  <si>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</si>
  <si>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</si>
  <si>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</si>
  <si>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</si>
  <si>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</si>
  <si>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</si>
  <si>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</si>
  <si>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</si>
  <si>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</si>
  <si>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</si>
  <si>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</si>
  <si>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</si>
  <si>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</si>
  <si>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</si>
  <si>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</si>
  <si>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</si>
  <si>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</si>
  <si>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</si>
  <si>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</si>
  <si>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</si>
  <si>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</si>
  <si>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</si>
  <si>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</si>
  <si>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</si>
  <si>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</si>
  <si>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</si>
  <si>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</si>
  <si>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</si>
  <si>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</si>
  <si>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</si>
  <si>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</si>
  <si>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</si>
  <si>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</si>
  <si>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</si>
  <si>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</si>
  <si>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</si>
  <si>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</si>
  <si>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</si>
  <si>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</si>
  <si>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</si>
  <si>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</si>
  <si>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</si>
  <si>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</si>
  <si>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</si>
  <si>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</si>
  <si>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</si>
  <si>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</si>
  <si>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</si>
  <si>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</si>
  <si>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</si>
  <si>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</si>
  <si>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</si>
  <si>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</si>
  <si>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</si>
  <si>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</si>
  <si>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</si>
  <si>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</si>
  <si>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</si>
  <si>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</si>
  <si>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</si>
  <si>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</si>
  <si>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</si>
  <si>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</si>
  <si>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</si>
  <si>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</si>
  <si>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</si>
  <si>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</si>
  <si>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</si>
  <si>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</si>
  <si>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</si>
  <si>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</si>
  <si>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</si>
  <si>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</si>
  <si>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</si>
  <si>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</si>
  <si>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</si>
  <si>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</si>
  <si>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</si>
  <si>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</si>
  <si>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</si>
  <si>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</si>
  <si>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</si>
  <si>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</si>
  <si>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</si>
  <si>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</si>
  <si>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</si>
  <si>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</si>
  <si>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</si>
  <si>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</si>
  <si>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</si>
  <si>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</si>
  <si>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</si>
  <si>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</si>
  <si>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</si>
  <si>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</si>
  <si>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</si>
  <si>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</si>
  <si>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</si>
  <si>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</si>
  <si>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</si>
  <si>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</si>
  <si>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</si>
  <si>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</si>
  <si>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</si>
  <si>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</si>
  <si>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</si>
  <si>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</si>
  <si>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</si>
  <si>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</si>
  <si>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</si>
  <si>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</si>
  <si>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</si>
  <si>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</si>
  <si>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</si>
  <si>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</si>
  <si>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</si>
  <si>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</si>
  <si>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</si>
  <si>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</si>
  <si>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</si>
  <si>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</si>
  <si>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</si>
  <si>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</si>
  <si>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</si>
  <si>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</si>
  <si>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</si>
  <si>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</si>
  <si>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</si>
  <si>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</si>
  <si>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</si>
  <si>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</si>
  <si>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</si>
  <si>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</si>
  <si>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</si>
  <si>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</si>
  <si>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</si>
  <si>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</si>
  <si>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</si>
  <si>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</si>
  <si>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</si>
  <si>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</si>
  <si>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</si>
  <si>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</si>
  <si>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</si>
  <si>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</si>
  <si>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</si>
  <si>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</si>
  <si>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</si>
  <si>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</si>
  <si>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</si>
  <si>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</si>
  <si>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</si>
  <si>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</si>
  <si>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</si>
  <si>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</si>
  <si>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</si>
  <si>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</si>
  <si>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</si>
  <si>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</si>
  <si>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</si>
  <si>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</si>
  <si>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</si>
  <si>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</si>
  <si>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</si>
  <si>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</si>
  <si>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</si>
  <si>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</si>
  <si>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</si>
  <si>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</si>
  <si>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</si>
  <si>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</si>
  <si>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</si>
  <si>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</si>
  <si>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</si>
  <si>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</si>
  <si>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</si>
  <si>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</si>
  <si>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</si>
  <si>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</si>
  <si>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</si>
  <si>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</si>
  <si>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</si>
  <si>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</si>
  <si>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</si>
  <si>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</si>
  <si>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</si>
  <si>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</si>
  <si>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</si>
  <si>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</si>
  <si>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</si>
  <si>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</si>
  <si>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</si>
  <si>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</si>
  <si>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</si>
  <si>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</si>
  <si>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</si>
  <si>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</si>
  <si>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</si>
  <si>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</si>
  <si>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</si>
  <si>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</si>
  <si>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</si>
  <si>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</si>
  <si>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</si>
  <si>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</si>
  <si>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</si>
  <si>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</si>
  <si>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</si>
  <si>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</si>
  <si>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</si>
  <si>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</si>
  <si>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</si>
  <si>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</si>
  <si>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</si>
  <si>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</si>
  <si>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</si>
  <si>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</si>
  <si>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</si>
  <si>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</si>
  <si>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</si>
  <si>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</si>
  <si>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</si>
  <si>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</si>
  <si>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</si>
  <si>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</si>
  <si>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</si>
  <si>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</si>
  <si>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</si>
  <si>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</si>
  <si>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</si>
  <si>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</si>
  <si>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</si>
  <si>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</si>
  <si>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</si>
  <si>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</si>
  <si>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</si>
  <si>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</si>
  <si>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</si>
  <si>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</si>
  <si>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</si>
  <si>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</si>
  <si>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</si>
  <si>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</si>
  <si>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</si>
  <si>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</si>
  <si>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</si>
  <si>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</si>
  <si>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</si>
  <si>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</si>
  <si>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</si>
  <si>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</si>
  <si>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</si>
  <si>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</si>
  <si>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</si>
  <si>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</si>
  <si>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</si>
  <si>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</si>
  <si>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</si>
  <si>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</si>
  <si>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</si>
  <si>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</si>
  <si>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</si>
  <si>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</si>
  <si>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</si>
  <si>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</si>
  <si>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</si>
  <si>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</si>
  <si>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</si>
  <si>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</si>
  <si>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</si>
  <si>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</si>
  <si>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</si>
  <si>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</si>
  <si>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</si>
  <si>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</si>
  <si>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</si>
  <si>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</si>
  <si>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</si>
  <si>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</si>
  <si>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</si>
  <si>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</si>
  <si>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</si>
  <si>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</si>
  <si>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</si>
  <si>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</si>
  <si>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</si>
  <si>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</si>
  <si>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</si>
  <si>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</si>
  <si>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</si>
  <si>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</si>
  <si>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</si>
  <si>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</si>
  <si>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</si>
  <si>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</si>
  <si>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</si>
  <si>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</si>
  <si>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</si>
  <si>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</si>
  <si>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</si>
  <si>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</si>
  <si>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</si>
  <si>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</si>
  <si>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</si>
  <si>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</si>
  <si>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</si>
  <si>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</si>
  <si>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</si>
  <si>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</si>
  <si>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</si>
  <si>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</si>
  <si>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</si>
  <si>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</si>
  <si>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</si>
  <si>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</si>
  <si>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</si>
  <si>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</si>
  <si>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</si>
  <si>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</si>
  <si>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</si>
  <si>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</si>
  <si>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</si>
  <si>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</si>
  <si>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</si>
  <si>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</si>
  <si>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</si>
  <si>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</si>
  <si>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</si>
  <si>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</si>
  <si>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</si>
  <si>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</si>
  <si>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</si>
  <si>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</si>
  <si>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</si>
  <si>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</si>
  <si>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</si>
  <si>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</si>
  <si>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</si>
  <si>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</si>
  <si>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</si>
  <si>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</si>
  <si>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</si>
  <si>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</si>
  <si>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</si>
  <si>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</si>
  <si>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</si>
  <si>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</si>
  <si>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</si>
  <si>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</si>
  <si>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</si>
  <si>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</si>
  <si>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</si>
  <si>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</si>
  <si>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</si>
  <si>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</si>
  <si>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</si>
  <si>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</si>
  <si>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</si>
  <si>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</si>
  <si>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</si>
  <si>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</si>
  <si>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</si>
  <si>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</si>
  <si>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</si>
  <si>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</si>
  <si>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</si>
  <si>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</si>
  <si>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</si>
  <si>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</si>
  <si>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</si>
  <si>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</si>
  <si>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</si>
  <si>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</si>
  <si>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</si>
  <si>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</si>
  <si>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</si>
  <si>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</si>
  <si>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</si>
  <si>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</si>
  <si>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</si>
  <si>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</si>
  <si>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</si>
  <si>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</si>
  <si>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</si>
  <si>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</si>
  <si>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</si>
  <si>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</si>
  <si>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</si>
  <si>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</si>
  <si>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</si>
  <si>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</si>
  <si>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</si>
  <si>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</si>
  <si>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</si>
  <si>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</si>
  <si>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</si>
  <si>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</si>
  <si>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</si>
  <si>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</si>
  <si>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</si>
  <si>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</si>
  <si>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</si>
  <si>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</si>
  <si>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</si>
  <si>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</si>
  <si>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</si>
  <si>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</si>
  <si>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</si>
  <si>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</si>
  <si>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</si>
  <si>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</si>
  <si>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</si>
  <si>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</si>
  <si>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</si>
  <si>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</si>
  <si>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</si>
  <si>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</si>
  <si>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</si>
  <si>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</si>
  <si>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</si>
  <si>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</si>
  <si>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</si>
  <si>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</si>
  <si>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</si>
  <si>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</si>
  <si>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</si>
  <si>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</si>
  <si>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</si>
  <si>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</si>
  <si>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</si>
  <si>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</si>
  <si>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</si>
  <si>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</si>
  <si>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</si>
  <si>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</si>
  <si>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</si>
  <si>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</si>
  <si>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</si>
  <si>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</si>
  <si>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</si>
  <si>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</si>
  <si>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</si>
  <si>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</si>
  <si>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</si>
  <si>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</si>
  <si>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</si>
  <si>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</si>
  <si>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</si>
  <si>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</si>
  <si>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</si>
  <si>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</si>
  <si>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</si>
  <si>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</si>
  <si>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</si>
  <si>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</si>
  <si>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</si>
  <si>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</si>
  <si>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</si>
  <si>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</si>
  <si>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</si>
  <si>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</si>
  <si>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</si>
  <si>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</si>
  <si>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</si>
  <si>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</si>
  <si>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</si>
  <si>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</si>
  <si>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</si>
  <si>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</si>
  <si>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</si>
  <si>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</si>
  <si>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</si>
  <si>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</si>
  <si>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</si>
  <si>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</si>
  <si>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</si>
  <si>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</si>
  <si>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</si>
  <si>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</si>
  <si>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</si>
  <si>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</si>
  <si>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</si>
  <si>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</si>
  <si>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</si>
  <si>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</si>
  <si>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</si>
  <si>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</si>
  <si>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</si>
  <si>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</si>
  <si>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</si>
  <si>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</si>
  <si>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</si>
  <si>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</si>
  <si>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</si>
  <si>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</si>
  <si>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</si>
  <si>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</si>
  <si>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</si>
  <si>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</si>
  <si>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</si>
  <si>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</si>
  <si>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</si>
  <si>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</si>
  <si>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</si>
  <si>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</si>
  <si>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</si>
  <si>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</si>
  <si>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</si>
  <si>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</si>
  <si>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</si>
  <si>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</si>
  <si>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</si>
  <si>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</si>
  <si>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</si>
  <si>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</si>
  <si>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</si>
  <si>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</si>
  <si>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</si>
  <si>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</si>
  <si>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</si>
  <si>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</si>
  <si>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</si>
  <si>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</si>
  <si>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</si>
  <si>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</si>
  <si>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</si>
  <si>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</si>
  <si>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</si>
  <si>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</si>
  <si>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</si>
  <si>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</si>
  <si>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</si>
  <si>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</si>
  <si>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</si>
  <si>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</si>
  <si>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</si>
  <si>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</si>
  <si>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</si>
  <si>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</si>
  <si>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</si>
  <si>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</si>
  <si>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</si>
  <si>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</si>
  <si>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</si>
  <si>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</si>
  <si>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</si>
  <si>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</si>
  <si>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</si>
  <si>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</si>
  <si>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</si>
  <si>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</si>
  <si>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</si>
  <si>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</si>
  <si>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</si>
  <si>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</si>
  <si>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</si>
  <si>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</si>
  <si>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</si>
  <si>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</si>
  <si>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</si>
  <si>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</si>
  <si>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</si>
  <si>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</si>
  <si>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</si>
  <si>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</si>
  <si>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</si>
  <si>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</si>
  <si>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</si>
  <si>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</si>
  <si>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</si>
  <si>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</si>
  <si>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</si>
  <si>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</si>
  <si>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</si>
  <si>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</si>
  <si>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</si>
  <si>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</si>
  <si>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</si>
  <si>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</si>
  <si>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</si>
  <si>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</si>
  <si>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</si>
  <si>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</si>
  <si>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</si>
  <si>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</si>
  <si>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</si>
  <si>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</si>
  <si>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</si>
  <si>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</si>
  <si>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</si>
  <si>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</si>
  <si>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</si>
  <si>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</si>
  <si>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</si>
  <si>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</si>
  <si>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</si>
  <si>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</si>
  <si>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</si>
  <si>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</si>
  <si>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</si>
  <si>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</si>
  <si>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</si>
  <si>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</si>
  <si>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</si>
  <si>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</si>
  <si>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</si>
  <si>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</si>
  <si>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</si>
  <si>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</si>
  <si>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</si>
  <si>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</si>
  <si>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</si>
  <si>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</si>
  <si>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</si>
  <si>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</si>
  <si>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</si>
  <si>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</si>
  <si>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</si>
  <si>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</si>
  <si>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</si>
  <si>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</si>
  <si>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</si>
  <si>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</si>
  <si>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</si>
  <si>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</si>
  <si>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</si>
  <si>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</si>
  <si>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</si>
  <si>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</si>
  <si>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</si>
  <si>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</si>
  <si>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</si>
  <si>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</si>
  <si>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</si>
  <si>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</si>
  <si>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</si>
  <si>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</si>
  <si>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</si>
  <si>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</si>
  <si>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</si>
  <si>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</si>
  <si>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</si>
  <si>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</si>
  <si>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</si>
  <si>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</si>
  <si>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</si>
  <si>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</si>
  <si>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</si>
  <si>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</si>
  <si>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</si>
  <si>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</si>
  <si>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</si>
  <si>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</si>
  <si>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</si>
  <si>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</si>
  <si>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</si>
  <si>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</si>
  <si>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</si>
  <si>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</si>
  <si>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</si>
  <si>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</si>
  <si>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</si>
  <si>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</si>
  <si>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</si>
  <si>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</si>
  <si>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</si>
  <si>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</si>
  <si>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</si>
  <si>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</si>
  <si>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</si>
  <si>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</si>
  <si>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</si>
  <si>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</si>
  <si>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</si>
  <si>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</si>
  <si>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</si>
  <si>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</si>
  <si>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</si>
  <si>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</si>
  <si>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</si>
  <si>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</si>
  <si>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</si>
  <si>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</si>
  <si>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</si>
  <si>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</si>
  <si>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</si>
  <si>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</si>
  <si>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</si>
  <si>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</si>
  <si>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</si>
  <si>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</si>
  <si>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</si>
  <si>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</si>
  <si>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</si>
  <si>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</si>
  <si>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</si>
  <si>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</si>
  <si>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</si>
  <si>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</si>
  <si>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</si>
  <si>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</si>
  <si>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</si>
  <si>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</si>
  <si>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</si>
  <si>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</si>
  <si>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</si>
  <si>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</si>
  <si>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</si>
  <si>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</si>
  <si>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</si>
  <si>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</si>
  <si>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</si>
  <si>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</si>
  <si>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</si>
  <si>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</si>
  <si>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</si>
  <si>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</si>
  <si>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</si>
  <si>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</si>
  <si>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</si>
  <si>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</si>
  <si>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</si>
  <si>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</si>
  <si>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</si>
  <si>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</si>
  <si>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</si>
  <si>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</si>
  <si>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</si>
  <si>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</si>
  <si>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</si>
  <si>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</si>
  <si>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</si>
  <si>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</si>
  <si>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</si>
  <si>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</si>
  <si>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</si>
  <si>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</si>
  <si>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</si>
  <si>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</si>
  <si>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</si>
  <si>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</si>
  <si>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</si>
  <si>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</si>
  <si>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</si>
  <si>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</si>
  <si>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</si>
  <si>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</si>
  <si>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</si>
  <si>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</si>
  <si>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</si>
  <si>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</si>
  <si>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</si>
  <si>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</si>
  <si>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</si>
  <si>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</si>
  <si>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</si>
  <si>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</si>
  <si>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</si>
  <si>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</si>
  <si>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</si>
  <si>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</si>
  <si>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</si>
  <si>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</si>
  <si>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</si>
  <si>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</si>
  <si>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</si>
  <si>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</si>
  <si>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</si>
  <si>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</si>
  <si>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</si>
  <si>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</si>
  <si>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</si>
  <si>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</si>
  <si>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</si>
  <si>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</si>
  <si>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</si>
  <si>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</si>
  <si>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</si>
  <si>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</si>
  <si>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</si>
  <si>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</si>
  <si>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</si>
  <si>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</si>
  <si>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</si>
  <si>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</si>
  <si>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</si>
  <si>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</si>
  <si>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</si>
  <si>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</si>
  <si>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</si>
  <si>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</si>
  <si>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</si>
  <si>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</si>
  <si>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</si>
  <si>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</si>
  <si>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</si>
  <si>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</si>
  <si>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</si>
  <si>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</si>
  <si>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</si>
  <si>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</si>
  <si>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</si>
  <si>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</si>
  <si>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</si>
  <si>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</si>
  <si>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</si>
  <si>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</si>
  <si>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</si>
  <si>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</si>
  <si>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</si>
  <si>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</si>
  <si>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</si>
  <si>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</si>
  <si>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</si>
  <si>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</si>
  <si>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</si>
  <si>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</si>
  <si>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</si>
  <si>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</si>
  <si>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</si>
  <si>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</si>
  <si>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</si>
  <si>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</si>
  <si>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</si>
  <si>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</si>
  <si>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</si>
  <si>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</si>
  <si>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</si>
  <si>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</si>
  <si>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</si>
  <si>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</si>
  <si>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</si>
  <si>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</si>
  <si>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</si>
  <si>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</si>
  <si>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</si>
  <si>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</si>
  <si>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</si>
  <si>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</si>
  <si>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</si>
  <si>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</si>
  <si>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</si>
  <si>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</si>
  <si>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</si>
  <si>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</si>
  <si>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</si>
  <si>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</si>
  <si>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</si>
  <si>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</si>
  <si>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</si>
  <si>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</si>
  <si>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</si>
  <si>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</si>
  <si>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</si>
  <si>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</si>
  <si>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</si>
  <si>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</si>
  <si>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</si>
  <si>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</si>
  <si>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</si>
  <si>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</si>
  <si>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</si>
  <si>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</si>
  <si>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</si>
  <si>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</si>
  <si>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</si>
  <si>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</si>
  <si>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</si>
  <si>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</si>
  <si>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</si>
  <si>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</si>
  <si>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</si>
  <si>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</si>
  <si>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</si>
  <si>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</si>
  <si>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</si>
  <si>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</si>
  <si>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</si>
  <si>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</si>
  <si>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</si>
  <si>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</si>
  <si>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</si>
  <si>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</si>
  <si>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</si>
  <si>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</si>
  <si>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</si>
  <si>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</si>
  <si>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</si>
  <si>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</si>
  <si>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</si>
  <si>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</si>
  <si>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</si>
  <si>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</si>
  <si>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</si>
  <si>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</si>
  <si>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</si>
  <si>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</si>
  <si>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</si>
  <si>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</si>
  <si>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</si>
  <si>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</si>
  <si>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</si>
  <si>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</si>
  <si>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</si>
  <si>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</si>
  <si>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</si>
  <si>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</si>
  <si>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</si>
  <si>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</si>
  <si>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</si>
  <si>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</si>
  <si>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</si>
  <si>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</si>
  <si>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</si>
  <si>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</si>
  <si>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</si>
  <si>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</si>
  <si>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</si>
  <si>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</si>
  <si>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</si>
  <si>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</si>
  <si>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</si>
  <si>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</si>
  <si>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</si>
  <si>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</si>
  <si>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</si>
  <si>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</si>
  <si>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</si>
  <si>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</si>
  <si>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</si>
  <si>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</si>
  <si>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</si>
  <si>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</si>
  <si>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</si>
  <si>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</si>
  <si>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</si>
  <si>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</si>
  <si>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</si>
  <si>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</si>
  <si>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</si>
  <si>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</si>
  <si>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</si>
  <si>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</si>
  <si>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</si>
  <si>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</si>
  <si>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</si>
  <si>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</si>
  <si>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</si>
  <si>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</si>
  <si>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</si>
  <si>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</si>
  <si>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</si>
  <si>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</si>
  <si>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</si>
  <si>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</si>
  <si>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</si>
  <si>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</si>
  <si>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</si>
  <si>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</si>
  <si>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</si>
  <si>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</si>
  <si>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</si>
  <si>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</si>
  <si>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</si>
  <si>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</si>
  <si>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</si>
  <si>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</si>
  <si>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</si>
  <si>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</si>
  <si>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</si>
  <si>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</si>
  <si>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</si>
  <si>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</si>
  <si>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</si>
  <si>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</si>
  <si>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</si>
  <si>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</si>
  <si>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</si>
  <si>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</si>
  <si>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</si>
  <si>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</si>
  <si>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</si>
  <si>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</si>
  <si>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</si>
  <si>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</si>
  <si>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</si>
  <si>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</si>
  <si>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</si>
  <si>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</si>
  <si>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</si>
  <si>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</si>
  <si>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</si>
  <si>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</si>
  <si>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</si>
  <si>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</si>
  <si>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</si>
  <si>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</si>
  <si>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</si>
  <si>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</si>
  <si>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</si>
  <si>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</si>
  <si>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</si>
  <si>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</si>
  <si>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</si>
  <si>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</si>
  <si>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</si>
  <si>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</si>
  <si>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</si>
  <si>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</si>
  <si>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</si>
  <si>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</si>
  <si>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</si>
  <si>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</si>
  <si>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</si>
  <si>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</si>
  <si>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</si>
  <si>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</si>
  <si>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</si>
  <si>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</si>
  <si>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</si>
  <si>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</si>
  <si>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</si>
  <si>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</si>
  <si>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</si>
  <si>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</si>
  <si>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</si>
  <si>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</si>
  <si>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</si>
  <si>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</si>
  <si>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</si>
  <si>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</si>
  <si>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</si>
  <si>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</si>
  <si>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</si>
  <si>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</si>
  <si>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</si>
  <si>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</si>
  <si>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</si>
  <si>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</si>
  <si>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</si>
  <si>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</si>
  <si>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</si>
  <si>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</si>
  <si>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</si>
  <si>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</si>
  <si>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</si>
  <si>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</si>
  <si>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</si>
  <si>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</si>
  <si>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</si>
  <si>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</si>
  <si>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</si>
  <si>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</si>
  <si>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</si>
  <si>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</si>
  <si>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</si>
  <si>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</si>
  <si>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</si>
  <si>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</si>
  <si>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</si>
  <si>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</si>
  <si>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</si>
  <si>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</si>
  <si>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</si>
  <si>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</si>
  <si>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</si>
  <si>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</si>
  <si>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</si>
  <si>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</si>
  <si>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</si>
  <si>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</si>
  <si>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</si>
  <si>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</si>
  <si>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</si>
  <si>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</si>
  <si>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</si>
  <si>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</si>
  <si>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</si>
  <si>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</si>
  <si>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</si>
  <si>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</si>
  <si>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</si>
  <si>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</si>
  <si>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</si>
  <si>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</si>
  <si>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</si>
  <si>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</si>
  <si>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</si>
  <si>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</si>
  <si>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</si>
  <si>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</si>
  <si>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</si>
  <si>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</si>
  <si>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</si>
  <si>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</si>
  <si>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D5p, D4r, D3i, D1-2r, C1-3r</t>
  </si>
  <si>
    <t>Celastrus cf. scandens</t>
  </si>
  <si>
    <t>Exotic Lonicera spp.</t>
  </si>
  <si>
    <t>H1-3p</t>
  </si>
  <si>
    <t>Agrimonia sp.</t>
  </si>
  <si>
    <t>Oenothera sp.</t>
  </si>
  <si>
    <t>G1-3r</t>
  </si>
  <si>
    <t>Carex cf. muhlenbergii</t>
  </si>
  <si>
    <t>Dicanthelium sp.</t>
  </si>
  <si>
    <t>SLBR2022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</si>
</sst>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4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9" t="s">
        <v>5390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5391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73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73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73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73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73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73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27" t="s">
        <v>41</v>
      </c>
      <c r="C114" s="128"/>
    </row>
    <row r="115" spans="1:3" x14ac:dyDescent="0.2">
      <c r="A115" s="74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877" zoomScale="70" zoomScaleNormal="70" workbookViewId="0">
      <selection activeCell="A1893" sqref="A1893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E41" sqref="E41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6" t="s">
        <v>5452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5443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3692</v>
      </c>
      <c r="B12" s="44" t="str">
        <f>IF(LEN(VLOOKUP(A12,'Species List'!$A:$G,2,FALSE))=0,"",VLOOKUP(A12,'Species List'!$A:$G,2,FALSE))</f>
        <v>bur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9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08">
        <f t="shared" ref="N12:N77" si="2">L12/$L$153</f>
        <v>0.33936651583710409</v>
      </c>
      <c r="O12" s="108">
        <f t="shared" ref="O12:O13" si="3">D12*N12</f>
        <v>1.6968325791855206</v>
      </c>
    </row>
    <row r="13" spans="1:15" x14ac:dyDescent="0.2">
      <c r="A13" s="122" t="s">
        <v>3855</v>
      </c>
      <c r="B13" s="44" t="str">
        <f>IF(LEN(VLOOKUP(A13,'Species List'!$A:$G,2,FALSE))=0,"",VLOOKUP(A13,'Species List'!$A:$G,2,FALSE))</f>
        <v>black raspberry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0.13574660633484162</v>
      </c>
      <c r="O13" s="108">
        <f t="shared" si="3"/>
        <v>0.27149321266968324</v>
      </c>
    </row>
    <row r="14" spans="1:15" x14ac:dyDescent="0.2">
      <c r="A14" s="122" t="s">
        <v>2963</v>
      </c>
      <c r="B14" s="44" t="str">
        <f>IF(LEN(VLOOKUP(A14,'Species List'!$A:$G,2,FALSE))=0,"",VLOOKUP(A14,'Species List'!$A:$G,2,FALSE))</f>
        <v>white mulberry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2.7149321266968326E-2</v>
      </c>
      <c r="O14" s="85">
        <f>D14*N14</f>
        <v>0</v>
      </c>
    </row>
    <row r="15" spans="1:15" x14ac:dyDescent="0.2">
      <c r="A15" s="122" t="s">
        <v>4499</v>
      </c>
      <c r="B15" s="44" t="str">
        <f>IF(LEN(VLOOKUP(A15,'Species List'!$A:$G,2,FALSE))=0,"",VLOOKUP(A15,'Species List'!$A:$G,2,FALSE))</f>
        <v>basswood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2.7149321266968326E-2</v>
      </c>
      <c r="O15" s="98">
        <f t="shared" ref="O15:O78" si="6">D15*N15</f>
        <v>0.13574660633484165</v>
      </c>
    </row>
    <row r="16" spans="1:15" x14ac:dyDescent="0.2">
      <c r="A16" s="122" t="s">
        <v>3848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0.13574660633484162</v>
      </c>
      <c r="O16" s="98">
        <f t="shared" si="6"/>
        <v>0.40723981900452488</v>
      </c>
    </row>
    <row r="17" spans="1:15" x14ac:dyDescent="0.2">
      <c r="A17" s="122" t="s">
        <v>3762</v>
      </c>
      <c r="B17" s="44" t="str">
        <f>IF(LEN(VLOOKUP(A17,'Species List'!$A:$G,2,FALSE))=0,"",VLOOKUP(A17,'Species List'!$A:$G,2,FALSE))</f>
        <v>smooth sumac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3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0.13574660633484162</v>
      </c>
      <c r="O17" s="98">
        <f t="shared" si="6"/>
        <v>0.27149321266968324</v>
      </c>
    </row>
    <row r="18" spans="1:15" x14ac:dyDescent="0.2">
      <c r="A18" s="122" t="s">
        <v>1225</v>
      </c>
      <c r="B18" s="44" t="str">
        <f>IF(LEN(VLOOKUP(A18,'Species List'!$A:$G,2,FALSE))=0,"",VLOOKUP(A18,'Species List'!$A:$G,2,FALSE))</f>
        <v>bitternut hickory</v>
      </c>
      <c r="C18" s="44">
        <f>IF(LEN(VLOOKUP(A18,'Species List'!$A:$G,3,FALSE))=0,"",VLOOKUP(A18,'Species List'!$A:$G,3,FALSE))</f>
        <v>5</v>
      </c>
      <c r="D18" s="99">
        <f t="shared" si="4"/>
        <v>5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23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5"/>
        <v>0.5</v>
      </c>
      <c r="N18" s="85">
        <f t="shared" si="2"/>
        <v>4.5248868778280547E-3</v>
      </c>
      <c r="O18" s="98">
        <f t="shared" si="6"/>
        <v>2.2624434389140274E-2</v>
      </c>
    </row>
    <row r="19" spans="1:15" x14ac:dyDescent="0.2">
      <c r="A19" s="122" t="s">
        <v>5445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2.7149321266968326E-2</v>
      </c>
      <c r="O19" s="98">
        <f t="shared" si="6"/>
        <v>0</v>
      </c>
    </row>
    <row r="20" spans="1:15" x14ac:dyDescent="0.2">
      <c r="A20" s="122" t="s">
        <v>3654</v>
      </c>
      <c r="B20" s="44" t="str">
        <f>IF(LEN(VLOOKUP(A20,'Species List'!$A:$G,2,FALSE))=0,"",VLOOKUP(A20,'Species List'!$A:$G,2,FALSE))</f>
        <v>black cherry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[FACU]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2.7149321266968326E-2</v>
      </c>
      <c r="O20" s="98">
        <f t="shared" si="6"/>
        <v>0.10859728506787331</v>
      </c>
    </row>
    <row r="21" spans="1:15" x14ac:dyDescent="0.2">
      <c r="A21" s="122" t="s">
        <v>3656</v>
      </c>
      <c r="B21" s="44" t="str">
        <f>IF(LEN(VLOOKUP(A21,'Species List'!$A:$G,2,FALSE))=0,"",VLOOKUP(A21,'Species List'!$A:$G,2,FALSE))</f>
        <v>chokecherry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[FAC-]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2.7149321266968326E-2</v>
      </c>
      <c r="O21" s="98">
        <f t="shared" si="6"/>
        <v>8.1447963800904979E-2</v>
      </c>
    </row>
    <row r="22" spans="1:15" x14ac:dyDescent="0.2">
      <c r="A22" s="122" t="s">
        <v>5444</v>
      </c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2.7149321266968326E-2</v>
      </c>
      <c r="O22" s="98" t="e">
        <f t="shared" si="6"/>
        <v>#N/A</v>
      </c>
    </row>
    <row r="23" spans="1:15" x14ac:dyDescent="0.2">
      <c r="A23" s="122" t="s">
        <v>1250</v>
      </c>
      <c r="B23" s="44" t="str">
        <f>IF(LEN(VLOOKUP(A23,'Species List'!$A:$G,2,FALSE))=0,"",VLOOKUP(A23,'Species List'!$A:$G,2,FALSE))</f>
        <v>hackberry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23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85">
        <f t="shared" si="2"/>
        <v>4.5248868778280547E-3</v>
      </c>
      <c r="O23" s="98">
        <f t="shared" si="6"/>
        <v>1.3574660633484163E-2</v>
      </c>
    </row>
    <row r="24" spans="1:15" x14ac:dyDescent="0.2">
      <c r="A24" s="122"/>
      <c r="B24" s="44"/>
      <c r="C24" s="44"/>
      <c r="D24" s="99"/>
      <c r="E24" s="44"/>
      <c r="F24" s="44"/>
      <c r="G24" s="44"/>
      <c r="H24" s="44"/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122" t="s">
        <v>3755</v>
      </c>
      <c r="B25" s="44" t="str">
        <f>IF(LEN(VLOOKUP(A25,'Species List'!$A:$G,2,FALSE))=0,"",VLOOKUP(A25,'Species List'!$A:$G,2,FALSE))</f>
        <v>common buckthorn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2.7149321266968326E-2</v>
      </c>
      <c r="O25" s="98">
        <f t="shared" si="6"/>
        <v>0</v>
      </c>
    </row>
    <row r="26" spans="1:15" x14ac:dyDescent="0.2">
      <c r="A26" s="122" t="s">
        <v>4765</v>
      </c>
      <c r="B26" s="44" t="str">
        <f>IF(LEN(VLOOKUP(A26,'Species List'!$A:$G,2,FALSE))=0,"",VLOOKUP(A26,'Species List'!$A:$G,2,FALSE))</f>
        <v>wild grape</v>
      </c>
      <c r="C26" s="44">
        <f>IF(LEN(VLOOKUP(A26,'Species List'!$A:$G,3,FALSE))=0,"",VLOOKUP(A26,'Species List'!$A:$G,3,FALSE))</f>
        <v>2</v>
      </c>
      <c r="D26" s="99">
        <f t="shared" si="4"/>
        <v>2</v>
      </c>
      <c r="E26" s="44" t="str">
        <f>IF(LEN(VLOOKUP(A26,'Species List'!$A:$G,4,FALSE))=0,"",VLOOKUP(A26,'Species List'!$A:$G,4,FALSE))</f>
        <v>C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2.7149321266968326E-2</v>
      </c>
      <c r="O26" s="98">
        <f t="shared" si="6"/>
        <v>5.4298642533936653E-2</v>
      </c>
    </row>
    <row r="27" spans="1:15" x14ac:dyDescent="0.2">
      <c r="A27" s="122" t="s">
        <v>3211</v>
      </c>
      <c r="B27" s="44" t="str">
        <f>IF(LEN(VLOOKUP(A27,'Species List'!$A:$G,2,FALSE))=0,"",VLOOKUP(A27,'Species List'!$A:$G,2,FALSE))</f>
        <v>Virginia creeper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C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85">
        <f t="shared" si="2"/>
        <v>2.7149321266968326E-2</v>
      </c>
      <c r="O27" s="98">
        <f t="shared" si="6"/>
        <v>8.1447963800904979E-2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110.5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5446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4515</v>
      </c>
      <c r="B12" s="44" t="str">
        <f>IF(LEN(VLOOKUP(A12,'Species List'!$A:$G,2,FALSE))=0,"",VLOOKUP(A12,'Species List'!$A:$G,2,FALSE))</f>
        <v>western poison ivy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08">
        <f t="shared" ref="N12:N13" si="2">L12/$L$153</f>
        <v>0.15463917525773196</v>
      </c>
      <c r="O12" s="108">
        <f t="shared" ref="O12:O13" si="3">D12*N12</f>
        <v>0.15463917525773196</v>
      </c>
    </row>
    <row r="13" spans="1:15" x14ac:dyDescent="0.2">
      <c r="A13" s="122" t="s">
        <v>4248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0.15463917525773196</v>
      </c>
      <c r="O13" s="108">
        <f t="shared" si="3"/>
        <v>0.77319587628865982</v>
      </c>
    </row>
    <row r="14" spans="1:15" x14ac:dyDescent="0.2">
      <c r="A14" s="122" t="s">
        <v>3149</v>
      </c>
      <c r="B14" s="44" t="str">
        <f>IF(LEN(VLOOKUP(A14,'Species List'!$A:$G,2,FALSE))=0,"",VLOOKUP(A14,'Species List'!$A:$G,2,FALSE))</f>
        <v>yellow wood sorrel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3.0927835051546393E-2</v>
      </c>
      <c r="O14" s="85">
        <f>D14*N14</f>
        <v>0</v>
      </c>
    </row>
    <row r="15" spans="1:15" x14ac:dyDescent="0.2">
      <c r="A15" s="122" t="s">
        <v>234</v>
      </c>
      <c r="B15" s="44" t="str">
        <f>IF(LEN(VLOOKUP(A15,'Species List'!$A:$G,2,FALSE))=0,"",VLOOKUP(A15,'Species List'!$A:$G,2,FALSE))</f>
        <v>white snakeroot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3.0927835051546393E-2</v>
      </c>
      <c r="O15" s="98">
        <f t="shared" ref="O15:O78" si="7">D15*N15</f>
        <v>3.0927835051546393E-2</v>
      </c>
    </row>
    <row r="16" spans="1:15" x14ac:dyDescent="0.2">
      <c r="A16" s="122" t="s">
        <v>1365</v>
      </c>
      <c r="B16" s="44" t="str">
        <f>IF(LEN(VLOOKUP(A16,'Species List'!$A:$G,2,FALSE))=0,"",VLOOKUP(A16,'Species List'!$A:$G,2,FALSE))</f>
        <v>common enchanter's nightshade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3.0927835051546393E-2</v>
      </c>
      <c r="O16" s="98">
        <f t="shared" si="7"/>
        <v>6.1855670103092786E-2</v>
      </c>
    </row>
    <row r="17" spans="1:15" x14ac:dyDescent="0.2">
      <c r="A17" s="122" t="s">
        <v>2777</v>
      </c>
      <c r="B17" s="44" t="str">
        <f>IF(LEN(VLOOKUP(A17,'Species List'!$A:$G,2,FALSE))=0,"",VLOOKUP(A17,'Species List'!$A:$G,2,FALSE))</f>
        <v>wild lupine</v>
      </c>
      <c r="C17" s="44">
        <f>IF(LEN(VLOOKUP(A17,'Species List'!$A:$G,3,FALSE))=0,"",VLOOKUP(A17,'Species List'!$A:$G,3,FALSE))</f>
        <v>6</v>
      </c>
      <c r="D17" s="99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3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98">
        <f t="shared" si="6"/>
        <v>0.15463917525773196</v>
      </c>
      <c r="O17" s="98">
        <f t="shared" si="7"/>
        <v>0.92783505154639179</v>
      </c>
    </row>
    <row r="18" spans="1:15" x14ac:dyDescent="0.2">
      <c r="A18" s="122" t="s">
        <v>322</v>
      </c>
      <c r="B18" s="44" t="str">
        <f>IF(LEN(VLOOKUP(A18,'Species List'!$A:$G,2,FALSE))=0,"",VLOOKUP(A18,'Species List'!$A:$G,2,FALSE))</f>
        <v>western ragweed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23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3.0927835051546393E-2</v>
      </c>
      <c r="O18" s="98">
        <f t="shared" si="7"/>
        <v>6.1855670103092786E-2</v>
      </c>
    </row>
    <row r="19" spans="1:15" x14ac:dyDescent="0.2">
      <c r="A19" s="122" t="s">
        <v>4219</v>
      </c>
      <c r="B19" s="44" t="str">
        <f>IF(LEN(VLOOKUP(A19,'Species List'!$A:$G,2,FALSE))=0,"",VLOOKUP(A19,'Species List'!$A:$G,2,FALSE))</f>
        <v>giant goldenrod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3.0927835051546393E-2</v>
      </c>
      <c r="O19" s="98">
        <f t="shared" si="7"/>
        <v>9.2783505154639179E-2</v>
      </c>
    </row>
    <row r="20" spans="1:15" x14ac:dyDescent="0.2">
      <c r="A20" s="122" t="s">
        <v>2651</v>
      </c>
      <c r="B20" s="44" t="str">
        <f>IF(LEN(VLOOKUP(A20,'Species List'!$A:$G,2,FALSE))=0,"",VLOOKUP(A20,'Species List'!$A:$G,2,FALSE))</f>
        <v>prairie bush clover</v>
      </c>
      <c r="C20" s="44">
        <f>IF(LEN(VLOOKUP(A20,'Species List'!$A:$G,3,FALSE))=0,"",VLOOKUP(A20,'Species List'!$A:$G,3,FALSE))</f>
        <v>8</v>
      </c>
      <c r="D20" s="99">
        <f t="shared" si="4"/>
        <v>8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 t="str">
        <f>VLOOKUP(A20,'Species List'!$A:$G,7,FALSE)</f>
        <v>T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3.0927835051546393E-2</v>
      </c>
      <c r="O20" s="98">
        <f t="shared" si="7"/>
        <v>0.24742268041237114</v>
      </c>
    </row>
    <row r="21" spans="1:15" x14ac:dyDescent="0.2">
      <c r="A21" s="122" t="s">
        <v>643</v>
      </c>
      <c r="B21" s="44" t="str">
        <f>IF(LEN(VLOOKUP(A21,'Species List'!$A:$G,2,FALSE))=0,"",VLOOKUP(A21,'Species List'!$A:$G,2,FALSE))</f>
        <v>hoary alyssum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3.0927835051546393E-2</v>
      </c>
      <c r="O21" s="98">
        <f t="shared" si="7"/>
        <v>0</v>
      </c>
    </row>
    <row r="22" spans="1:15" x14ac:dyDescent="0.2">
      <c r="A22" s="122" t="s">
        <v>4526</v>
      </c>
      <c r="B22" s="44" t="str">
        <f>IF(LEN(VLOOKUP(A22,'Species List'!$A:$G,2,FALSE))=0,"",VLOOKUP(A22,'Species List'!$A:$G,2,FALSE))</f>
        <v>yellow goat's beard</v>
      </c>
      <c r="C22" s="44">
        <f>IF(LEN(VLOOKUP(A22,'Species List'!$A:$G,3,FALSE))=0,"",VLOOKUP(A22,'Species List'!$A:$G,3,FALSE))</f>
        <v>0</v>
      </c>
      <c r="D22" s="99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3.0927835051546393E-2</v>
      </c>
      <c r="O22" s="98">
        <f t="shared" si="7"/>
        <v>0</v>
      </c>
    </row>
    <row r="23" spans="1:15" x14ac:dyDescent="0.2">
      <c r="A23" s="122" t="s">
        <v>2576</v>
      </c>
      <c r="B23" s="44" t="str">
        <f>IF(LEN(VLOOKUP(A23,'Species List'!$A:$G,2,FALSE))=0,"",VLOOKUP(A23,'Species List'!$A:$G,2,FALSE))</f>
        <v>Canada wild lettuce</v>
      </c>
      <c r="C23" s="44">
        <f>IF(LEN(VLOOKUP(A23,'Species List'!$A:$G,3,FALSE))=0,"",VLOOKUP(A23,'Species List'!$A:$G,3,FALSE))</f>
        <v>2</v>
      </c>
      <c r="D23" s="99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23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3.0927835051546393E-2</v>
      </c>
      <c r="O23" s="98">
        <f t="shared" si="7"/>
        <v>6.1855670103092786E-2</v>
      </c>
    </row>
    <row r="24" spans="1:15" x14ac:dyDescent="0.2">
      <c r="A24" s="122" t="s">
        <v>2946</v>
      </c>
      <c r="B24" s="44" t="str">
        <f>IF(LEN(VLOOKUP(A24,'Species List'!$A:$G,2,FALSE))=0,"",VLOOKUP(A24,'Species List'!$A:$G,2,FALSE))</f>
        <v>wild bergamot</v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3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3.0927835051546393E-2</v>
      </c>
      <c r="O24" s="98">
        <f t="shared" si="7"/>
        <v>9.2783505154639179E-2</v>
      </c>
    </row>
    <row r="25" spans="1:15" x14ac:dyDescent="0.2">
      <c r="A25" s="122" t="s">
        <v>5436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1</v>
      </c>
      <c r="D25" s="99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23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3.0927835051546393E-2</v>
      </c>
      <c r="O25" s="98">
        <f t="shared" si="7"/>
        <v>3.0927835051546393E-2</v>
      </c>
    </row>
    <row r="26" spans="1:15" x14ac:dyDescent="0.2">
      <c r="A26" s="122" t="s">
        <v>2106</v>
      </c>
      <c r="B26" s="44" t="str">
        <f>IF(LEN(VLOOKUP(A26,'Species List'!$A:$G,2,FALSE))=0,"",VLOOKUP(A26,'Species List'!$A:$G,2,FALSE))</f>
        <v>false buckwheat</v>
      </c>
      <c r="C26" s="44">
        <f>IF(LEN(VLOOKUP(A26,'Species List'!$A:$G,3,FALSE))=0,"",VLOOKUP(A26,'Species List'!$A:$G,3,FALSE))</f>
        <v>3</v>
      </c>
      <c r="D26" s="99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23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98">
        <f t="shared" si="6"/>
        <v>5.1546391752577319E-3</v>
      </c>
      <c r="O26" s="98">
        <f t="shared" si="7"/>
        <v>1.5463917525773196E-2</v>
      </c>
    </row>
    <row r="27" spans="1:15" x14ac:dyDescent="0.2">
      <c r="A27" s="122" t="s">
        <v>1419</v>
      </c>
      <c r="B27" s="44" t="str">
        <f>IF(LEN(VLOOKUP(A27,'Species List'!$A:$G,2,FALSE))=0,"",VLOOKUP(A27,'Species List'!$A:$G,2,FALSE))</f>
        <v>horseweed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3.0927835051546393E-2</v>
      </c>
      <c r="O27" s="98">
        <f t="shared" si="7"/>
        <v>0</v>
      </c>
    </row>
    <row r="28" spans="1:15" x14ac:dyDescent="0.2">
      <c r="A28" s="122" t="s">
        <v>5426</v>
      </c>
      <c r="B28" s="44" t="str">
        <f>IF(LEN(VLOOKUP(A28,'Species List'!$A:$G,2,FALSE))=0,"",VLOOKUP(A28,'Species List'!$A:$G,2,FALSE))</f>
        <v>white lamb's quarters</v>
      </c>
      <c r="C28" s="44">
        <f>IF(LEN(VLOOKUP(A28,'Species List'!$A:$G,3,FALSE))=0,"",VLOOKUP(A28,'Species List'!$A:$G,3,FALSE))</f>
        <v>0</v>
      </c>
      <c r="D28" s="99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FAC-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3.0927835051546393E-2</v>
      </c>
      <c r="O28" s="98">
        <f t="shared" si="7"/>
        <v>0</v>
      </c>
    </row>
    <row r="29" spans="1:15" x14ac:dyDescent="0.2">
      <c r="A29" s="122" t="s">
        <v>2944</v>
      </c>
      <c r="B29" s="44" t="str">
        <f>IF(LEN(VLOOKUP(A29,'Species List'!$A:$G,2,FALSE))=0,"",VLOOKUP(A29,'Species List'!$A:$G,2,FALSE))</f>
        <v>carpetweed</v>
      </c>
      <c r="C29" s="44">
        <f>IF(LEN(VLOOKUP(A29,'Species List'!$A:$G,3,FALSE))=0,"",VLOOKUP(A29,'Species List'!$A:$G,3,FALSE))</f>
        <v>0</v>
      </c>
      <c r="D29" s="99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>FAC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3.0927835051546393E-2</v>
      </c>
      <c r="O29" s="98">
        <f t="shared" si="7"/>
        <v>0</v>
      </c>
    </row>
    <row r="30" spans="1:15" x14ac:dyDescent="0.2">
      <c r="A30" s="122" t="s">
        <v>4658</v>
      </c>
      <c r="B30" s="44" t="str">
        <f>IF(LEN(VLOOKUP(A30,'Species List'!$A:$G,2,FALSE))=0,"",VLOOKUP(A30,'Species List'!$A:$G,2,FALSE))</f>
        <v>hoary vervain</v>
      </c>
      <c r="C30" s="44">
        <f>IF(LEN(VLOOKUP(A30,'Species List'!$A:$G,3,FALSE))=0,"",VLOOKUP(A30,'Species List'!$A:$G,3,FALSE))</f>
        <v>3</v>
      </c>
      <c r="D30" s="99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3.0927835051546393E-2</v>
      </c>
      <c r="O30" s="98">
        <f t="shared" si="7"/>
        <v>9.2783505154639179E-2</v>
      </c>
    </row>
    <row r="31" spans="1:15" x14ac:dyDescent="0.2">
      <c r="A31" s="122" t="s">
        <v>5447</v>
      </c>
      <c r="B31" s="44" t="e">
        <f>IF(LEN(VLOOKUP(A31,'Species List'!$A:$G,2,FALSE))=0,"",VLOOKUP(A31,'Species List'!$A:$G,2,FALSE))</f>
        <v>#N/A</v>
      </c>
      <c r="C31" s="44">
        <v>2</v>
      </c>
      <c r="D31" s="99">
        <f t="shared" si="4"/>
        <v>2</v>
      </c>
      <c r="E31" s="44" t="s">
        <v>149</v>
      </c>
      <c r="F31" s="44" t="s">
        <v>147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3.0927835051546393E-2</v>
      </c>
      <c r="O31" s="98">
        <f t="shared" si="7"/>
        <v>6.1855670103092786E-2</v>
      </c>
    </row>
    <row r="32" spans="1:15" x14ac:dyDescent="0.2">
      <c r="A32" s="122" t="s">
        <v>1935</v>
      </c>
      <c r="B32" s="44" t="str">
        <f>IF(LEN(VLOOKUP(A32,'Species List'!$A:$G,2,FALSE))=0,"",VLOOKUP(A32,'Species List'!$A:$G,2,FALSE))</f>
        <v>smooth scouring rush</v>
      </c>
      <c r="C32" s="44">
        <f>IF(LEN(VLOOKUP(A32,'Species List'!$A:$G,3,FALSE))=0,"",VLOOKUP(A32,'Species List'!$A:$G,3,FALSE))</f>
        <v>2</v>
      </c>
      <c r="D32" s="99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</v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3.0927835051546393E-2</v>
      </c>
      <c r="O32" s="98">
        <f t="shared" si="7"/>
        <v>6.1855670103092786E-2</v>
      </c>
    </row>
    <row r="33" spans="1:15" x14ac:dyDescent="0.2">
      <c r="A33" s="122" t="s">
        <v>5448</v>
      </c>
      <c r="B33" s="44" t="e">
        <f>IF(LEN(VLOOKUP(A33,'Species List'!$A:$G,2,FALSE))=0,"",VLOOKUP(A33,'Species List'!$A:$G,2,FALSE))</f>
        <v>#N/A</v>
      </c>
      <c r="C33" s="44">
        <v>1</v>
      </c>
      <c r="D33" s="99">
        <f t="shared" si="4"/>
        <v>1</v>
      </c>
      <c r="E33" s="44" t="s">
        <v>149</v>
      </c>
      <c r="F33" s="44" t="s">
        <v>147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3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98">
        <f t="shared" si="6"/>
        <v>5.1546391752577319E-3</v>
      </c>
      <c r="O33" s="98">
        <f t="shared" si="7"/>
        <v>5.1546391752577319E-3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97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6"/>
      <c r="C7" s="146"/>
      <c r="D7" s="146"/>
      <c r="E7" s="14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5449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1970</v>
      </c>
      <c r="B12" s="44" t="str">
        <f>IF(LEN(VLOOKUP(A12,'Species List'!$A:$G,2,FALSE))=0,"",VLOOKUP(A12,'Species List'!$A:$G,2,FALSE))</f>
        <v>purple lovegrass</v>
      </c>
      <c r="C12" s="44">
        <f>IF(LEN(VLOOKUP(A12,'Species List'!$A:$G,3,FALSE))=0,"",VLOOKUP(A12,'Species List'!$A:$G,3,FALSE))</f>
        <v>3</v>
      </c>
      <c r="D12" s="99">
        <f t="shared" ref="D12:D20" si="0">VALUE(C12)</f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0.1</v>
      </c>
      <c r="O12" s="108">
        <f t="shared" ref="O12:O78" si="3">D12*N12</f>
        <v>0.30000000000000004</v>
      </c>
    </row>
    <row r="13" spans="1:15" x14ac:dyDescent="0.2">
      <c r="A13" s="122" t="s">
        <v>3443</v>
      </c>
      <c r="B13" s="44" t="str">
        <f>IF(LEN(VLOOKUP(A13,'Species List'!$A:$G,2,FALSE))=0,"",VLOOKUP(A13,'Species List'!$A:$G,2,FALSE))</f>
        <v>Kentucky bluegrass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3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0.1</v>
      </c>
      <c r="O13" s="108">
        <f t="shared" si="3"/>
        <v>0</v>
      </c>
    </row>
    <row r="14" spans="1:15" x14ac:dyDescent="0.2">
      <c r="A14" s="122" t="s">
        <v>5440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0.1</v>
      </c>
      <c r="O14" s="107">
        <f t="shared" si="3"/>
        <v>0.30000000000000004</v>
      </c>
    </row>
    <row r="15" spans="1:15" x14ac:dyDescent="0.2">
      <c r="A15" s="122" t="s">
        <v>756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6</v>
      </c>
      <c r="D15" s="99">
        <f t="shared" si="0"/>
        <v>6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0.1</v>
      </c>
      <c r="O15" s="98">
        <f t="shared" si="3"/>
        <v>0.60000000000000009</v>
      </c>
    </row>
    <row r="16" spans="1:15" x14ac:dyDescent="0.2">
      <c r="A16" s="122" t="s">
        <v>1566</v>
      </c>
      <c r="B16" s="44" t="str">
        <f>IF(LEN(VLOOKUP(A16,'Species List'!$A:$G,2,FALSE))=0,"",VLOOKUP(A16,'Species List'!$A:$G,2,FALSE))</f>
        <v>slender nut sedge</v>
      </c>
      <c r="C16" s="44">
        <f>IF(LEN(VLOOKUP(A16,'Species List'!$A:$G,3,FALSE))=0,"",VLOOKUP(A16,'Species List'!$A:$G,3,FALSE))</f>
        <v>6</v>
      </c>
      <c r="D16" s="99">
        <f t="shared" si="0"/>
        <v>6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[FACU-]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0.1</v>
      </c>
      <c r="O16" s="98">
        <f t="shared" si="3"/>
        <v>0.60000000000000009</v>
      </c>
    </row>
    <row r="17" spans="1:15" x14ac:dyDescent="0.2">
      <c r="A17" s="122" t="s">
        <v>4270</v>
      </c>
      <c r="B17" s="44" t="str">
        <f>IF(LEN(VLOOKUP(A17,'Species List'!$A:$G,2,FALSE))=0,"",VLOOKUP(A17,'Species List'!$A:$G,2,FALSE))</f>
        <v>Indian grass</v>
      </c>
      <c r="C17" s="44">
        <f>IF(LEN(VLOOKUP(A17,'Species List'!$A:$G,3,FALSE))=0,"",VLOOKUP(A17,'Species List'!$A:$G,3,FALSE))</f>
        <v>5</v>
      </c>
      <c r="D17" s="99">
        <f t="shared" si="0"/>
        <v>5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0.1</v>
      </c>
      <c r="O17" s="98">
        <f t="shared" si="3"/>
        <v>0.5</v>
      </c>
    </row>
    <row r="18" spans="1:15" x14ac:dyDescent="0.2">
      <c r="A18" s="122" t="s">
        <v>5450</v>
      </c>
      <c r="B18" s="44" t="e">
        <f>IF(LEN(VLOOKUP(A18,'Species List'!$A:$G,2,FALSE))=0,"",VLOOKUP(A18,'Species List'!$A:$G,2,FALSE))</f>
        <v>#N/A</v>
      </c>
      <c r="C18" s="44">
        <v>3</v>
      </c>
      <c r="D18" s="99">
        <f t="shared" si="0"/>
        <v>3</v>
      </c>
      <c r="E18" s="44" t="s">
        <v>189</v>
      </c>
      <c r="F18" s="44" t="s">
        <v>147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0.1</v>
      </c>
      <c r="O18" s="98">
        <f t="shared" si="3"/>
        <v>0.30000000000000004</v>
      </c>
    </row>
    <row r="19" spans="1:15" x14ac:dyDescent="0.2">
      <c r="A19" s="122" t="s">
        <v>924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9">
        <f t="shared" si="0"/>
        <v>3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1"/>
        <v>3</v>
      </c>
      <c r="N19" s="98">
        <f t="shared" si="2"/>
        <v>0.1</v>
      </c>
      <c r="O19" s="98">
        <f t="shared" si="3"/>
        <v>0.30000000000000004</v>
      </c>
    </row>
    <row r="20" spans="1:15" x14ac:dyDescent="0.2">
      <c r="A20" s="122" t="s">
        <v>5451</v>
      </c>
      <c r="B20" s="44" t="e">
        <f>IF(LEN(VLOOKUP(A20,'Species List'!$A:$G,2,FALSE))=0,"",VLOOKUP(A20,'Species List'!$A:$G,2,FALSE))</f>
        <v>#N/A</v>
      </c>
      <c r="C20" s="44">
        <v>3</v>
      </c>
      <c r="D20" s="99">
        <f t="shared" si="0"/>
        <v>3</v>
      </c>
      <c r="E20" s="44" t="s">
        <v>189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1"/>
        <v>3</v>
      </c>
      <c r="N20" s="98">
        <f t="shared" si="2"/>
        <v>0.1</v>
      </c>
      <c r="O20" s="98">
        <f t="shared" si="3"/>
        <v>0.30000000000000004</v>
      </c>
    </row>
    <row r="21" spans="1:15" x14ac:dyDescent="0.2">
      <c r="A21" s="122" t="s">
        <v>4116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0</v>
      </c>
      <c r="D21" s="99">
        <f t="shared" ref="D21:D78" si="4">VALUE(C21)</f>
        <v>0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1"/>
        <v>3</v>
      </c>
      <c r="N21" s="98">
        <f t="shared" si="2"/>
        <v>0.1</v>
      </c>
      <c r="O21" s="98">
        <f t="shared" si="3"/>
        <v>0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30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A17" sqref="A17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0" t="s">
        <v>4837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11</v>
      </c>
      <c r="C4" s="102">
        <f>COUNTIF(Forbs!$F$12:$F$150,"Native")</f>
        <v>18</v>
      </c>
      <c r="D4" s="102">
        <f>COUNTIF(Grasses!$F$12:$F$151,"Native")</f>
        <v>8</v>
      </c>
      <c r="E4" s="102">
        <f>AVERAGE(B4:D4)</f>
        <v>12.333333333333334</v>
      </c>
      <c r="F4" s="102">
        <f>SUM(B4:D4)</f>
        <v>37</v>
      </c>
    </row>
    <row r="5" spans="1:6" ht="18" x14ac:dyDescent="0.25">
      <c r="A5" s="53" t="s">
        <v>4842</v>
      </c>
      <c r="B5" s="102">
        <f>COUNTIF(Woody!$F12:$F201,"Introduced")</f>
        <v>3</v>
      </c>
      <c r="C5" s="102">
        <f>COUNTIF(Forbs!$F12:$F201,"Introduced")</f>
        <v>4</v>
      </c>
      <c r="D5" s="102">
        <f>COUNTIF(Grasses!$F12:$F201,"Introduced")</f>
        <v>2</v>
      </c>
      <c r="E5" s="102">
        <f t="shared" ref="E5:E6" si="0">AVERAGE(B5:D5)</f>
        <v>3</v>
      </c>
      <c r="F5" s="102">
        <f>SUM(B5:D5)</f>
        <v>9</v>
      </c>
    </row>
    <row r="6" spans="1:6" s="81" customFormat="1" ht="21" x14ac:dyDescent="0.35">
      <c r="A6" s="53" t="s">
        <v>5411</v>
      </c>
      <c r="B6" s="102">
        <f>SUM(B4:B5)</f>
        <v>14</v>
      </c>
      <c r="C6" s="102">
        <f>SUM(C4:C5)</f>
        <v>22</v>
      </c>
      <c r="D6" s="102">
        <f>SUM(D4:D5)</f>
        <v>10</v>
      </c>
      <c r="E6" s="102">
        <f t="shared" si="0"/>
        <v>15.333333333333334</v>
      </c>
      <c r="F6" s="102">
        <f>SUM(B6:D6)</f>
        <v>46</v>
      </c>
    </row>
    <row r="7" spans="1:6" ht="18" x14ac:dyDescent="0.25">
      <c r="A7" s="53" t="s">
        <v>4843</v>
      </c>
      <c r="B7" s="102">
        <f>AVERAGEIF(Woody!D12:D152,"&gt;0")</f>
        <v>3.3636363636363638</v>
      </c>
      <c r="C7" s="102">
        <f>AVERAGEIF(Forbs!D12:D152,"&gt;0")</f>
        <v>2.8125</v>
      </c>
      <c r="D7" s="102">
        <f>AVERAGEIF(Grasses!D12:D152,"&gt;0")</f>
        <v>4</v>
      </c>
      <c r="E7" s="102">
        <f>AVERAGE(B7:D7)</f>
        <v>3.3920454545454546</v>
      </c>
      <c r="F7" s="102">
        <f>(SUMIF(Woody!D12:D152,"&gt;0")+SUMIF(Forbs!D12:D152,"&gt;0")+SUMIF(Grasses!D12:D152,"&gt;0"))/(COUNTIF(Woody!D12:D152,"&gt;0")+COUNTIF(Forbs!D12:D152,"&gt;0")+COUNTIF(Grasses!D12:D152,"&gt;0"))</f>
        <v>3.2571428571428571</v>
      </c>
    </row>
    <row r="8" spans="1:6" s="31" customFormat="1" ht="21" x14ac:dyDescent="0.35">
      <c r="A8" s="53" t="s">
        <v>5412</v>
      </c>
      <c r="B8" s="102">
        <f>AVERAGEIF(Woody!D12:D152,"&gt;=0")</f>
        <v>2.6428571428571428</v>
      </c>
      <c r="C8" s="102">
        <f>AVERAGEIF(Forbs!D12:D152,"&gt;=0")</f>
        <v>2.0454545454545454</v>
      </c>
      <c r="D8" s="102">
        <f>AVERAGEIF(Grasses!D12:D152,"&gt;=0")</f>
        <v>3.2</v>
      </c>
      <c r="E8" s="102">
        <f>AVERAGE(B8:D8)</f>
        <v>2.6294372294372295</v>
      </c>
      <c r="F8" s="102">
        <f>(SUMIF(Woody!D12:D152,"&gt;=0")+SUMIF(Forbs!D12:D152,"&gt;=0")+SUMIF(Grasses!D12:D152,"&gt;=0"))/(COUNTIF(Woody!D12:D152,"&gt;=0")+COUNTIF(Forbs!D12:D152,"&gt;=0")+COUNTIF(Grasses!D12:D152,"&gt;=0"))</f>
        <v>2.4782608695652173</v>
      </c>
    </row>
    <row r="9" spans="1:6" ht="18" x14ac:dyDescent="0.25">
      <c r="A9" s="53" t="s">
        <v>4836</v>
      </c>
      <c r="B9" s="102">
        <f>SQRT(B4)*B7</f>
        <v>11.155919749377254</v>
      </c>
      <c r="C9" s="102">
        <f>SQRT(C4)*C7</f>
        <v>11.932426932522988</v>
      </c>
      <c r="D9" s="102">
        <f>SQRT(D4)*D7</f>
        <v>11.313708498984761</v>
      </c>
      <c r="E9" s="102">
        <f>SQRT(E4)*E7</f>
        <v>11.912472141009632</v>
      </c>
      <c r="F9" s="102">
        <f>SQRT(F4)*F7</f>
        <v>19.812426527257056</v>
      </c>
    </row>
    <row r="10" spans="1:6" s="82" customFormat="1" ht="21" x14ac:dyDescent="0.35">
      <c r="A10" s="53" t="s">
        <v>5413</v>
      </c>
      <c r="B10" s="102">
        <f>SQRT(B6)*B8</f>
        <v>9.8886659507597017</v>
      </c>
      <c r="C10" s="102">
        <f>SQRT(C6)*C8</f>
        <v>9.5940322360024695</v>
      </c>
      <c r="D10" s="102">
        <f>SQRT(D6)*D8</f>
        <v>10.119288512538816</v>
      </c>
      <c r="E10" s="102">
        <f>SQRT(E6)*E8</f>
        <v>10.296297823381705</v>
      </c>
      <c r="F10" s="102">
        <f>SQRT(F6)*F8</f>
        <v>16.808383001658271</v>
      </c>
    </row>
    <row r="11" spans="1:6" ht="18" x14ac:dyDescent="0.25">
      <c r="A11" s="53" t="s">
        <v>4844</v>
      </c>
      <c r="B11" s="102">
        <f>SUMIF(Woody!$M$12:$M$152,"&gt;=0")</f>
        <v>110.5</v>
      </c>
      <c r="C11" s="102">
        <f>SUMIF(Forbs!$M$12:$M$153,"&gt;=0")</f>
        <v>97</v>
      </c>
      <c r="D11" s="102">
        <f>SUMIF(Grasses!$M$12:$M$152,"&gt;=0")</f>
        <v>30</v>
      </c>
      <c r="E11" s="102">
        <f>AVERAGE(B11:D11)</f>
        <v>79.166666666666671</v>
      </c>
      <c r="F11" s="102">
        <f>SUM(B11:D11)</f>
        <v>237.5</v>
      </c>
    </row>
    <row r="12" spans="1:6" ht="18" x14ac:dyDescent="0.25">
      <c r="A12" s="53" t="s">
        <v>5377</v>
      </c>
      <c r="B12" s="102">
        <f>SUMIF(Woody!$F$12:$F$152,"Introduced",Woody!$L$12:$L$152)</f>
        <v>9</v>
      </c>
      <c r="C12" s="102">
        <f>SUMIF(Forbs!$F$12:$F$153,"Introduced",Forbs!$L$12:$L$153)</f>
        <v>12</v>
      </c>
      <c r="D12" s="102">
        <f>SUMIF(Grasses!$F$12:$F$152,"Introduced",Grasses!$L$12:$L$152)</f>
        <v>6</v>
      </c>
      <c r="E12" s="102">
        <f>AVERAGE(B12:D12)</f>
        <v>9</v>
      </c>
      <c r="F12" s="102">
        <f>SUM(B12:D12)</f>
        <v>27</v>
      </c>
    </row>
    <row r="13" spans="1:6" ht="18.75" thickBot="1" x14ac:dyDescent="0.3">
      <c r="A13" s="54" t="s">
        <v>4845</v>
      </c>
      <c r="B13" s="103">
        <f>B12/B11</f>
        <v>8.1447963800904979E-2</v>
      </c>
      <c r="C13" s="103">
        <f>C12/C11</f>
        <v>0.12371134020618557</v>
      </c>
      <c r="D13" s="103">
        <f>D12/D11</f>
        <v>0.2</v>
      </c>
      <c r="E13" s="103">
        <f>E12/E11</f>
        <v>0.11368421052631578</v>
      </c>
      <c r="F13" s="103">
        <f>F12/F11</f>
        <v>0.11368421052631579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3.1447963800904977</v>
      </c>
      <c r="C15" s="101">
        <f>SUMIF(Forbs!$O$12:$O$152,"&gt;=0")</f>
        <v>2.7731958762886597</v>
      </c>
      <c r="D15" s="101">
        <f>SUMIF(Grasses!$O$12:$O$152,"&gt;=0")</f>
        <v>3.2</v>
      </c>
      <c r="E15" s="101">
        <f>AVERAGE(B15:D15)</f>
        <v>3.0393307521263857</v>
      </c>
      <c r="F15" s="102">
        <f>SUM(B15:D15)</f>
        <v>9.1179922563791571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2023-01-27T17:46:06Z</dcterms:modified>
</cp:coreProperties>
</file>