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5CCD0404-BD9F-4844-90AC-08FA4CE5E0C6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13" i="7" s="1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N12" i="9" l="1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12" i="7" l="1"/>
  <c r="F12" i="7" s="1"/>
  <c r="D6" i="7"/>
  <c r="D9" i="7"/>
  <c r="E4" i="7"/>
  <c r="E9" i="7" s="1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4" i="7"/>
  <c r="F5" i="7"/>
  <c r="L153" i="6"/>
  <c r="E12" i="7" l="1"/>
  <c r="N12" i="6"/>
  <c r="O12" i="6" s="1"/>
  <c r="N13" i="6"/>
  <c r="O13" i="6" s="1"/>
  <c r="N19" i="6"/>
  <c r="O19" i="6" s="1"/>
  <c r="N14" i="6"/>
  <c r="O14" i="6" s="1"/>
  <c r="D11" i="7"/>
  <c r="E11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E13" i="7" l="1"/>
  <c r="D13" i="7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<sst xmlns="http://schemas.openxmlformats.org/spreadsheetml/2006/main" count="13133" uniqueCount="5447">
  <si>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</si>
  <si>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</si>
  <si>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</si>
  <si>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</si>
  <si>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</si>
  <si>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</si>
  <si>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</si>
  <si>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</si>
  <si>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</si>
  <si>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</si>
  <si>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</si>
  <si>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</si>
  <si>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</si>
  <si>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</si>
  <si>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</si>
  <si>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</si>
  <si>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</si>
  <si>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</si>
  <si>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</si>
  <si>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</si>
  <si>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</si>
  <si>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</si>
  <si>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</si>
  <si>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</si>
  <si>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</si>
  <si>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</si>
  <si>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</si>
  <si>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</si>
  <si>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</si>
  <si>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</si>
  <si>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</si>
  <si>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</si>
  <si>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</si>
  <si>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</si>
  <si>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</si>
  <si>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</si>
  <si>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</si>
  <si>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</si>
  <si>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</si>
  <si>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</si>
  <si>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</si>
  <si>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</si>
  <si>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</si>
  <si>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</si>
  <si>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</si>
  <si>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</si>
  <si>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</si>
  <si>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</si>
  <si>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</si>
  <si>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</si>
  <si>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</si>
  <si>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</si>
  <si>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</si>
  <si>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</si>
  <si>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</si>
  <si>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</si>
  <si>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</si>
  <si>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</si>
  <si>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</si>
  <si>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</si>
  <si>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</si>
  <si>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</si>
  <si>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</si>
  <si>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</si>
  <si>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</si>
  <si>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</si>
  <si>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</si>
  <si>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</si>
  <si>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</si>
  <si>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</si>
  <si>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</si>
  <si>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</si>
  <si>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</si>
  <si>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</si>
  <si>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</si>
  <si>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</si>
  <si>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</si>
  <si>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</si>
  <si>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</si>
  <si>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</si>
  <si>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</si>
  <si>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</si>
  <si>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</si>
  <si>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</si>
  <si>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</si>
  <si>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</si>
  <si>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</si>
  <si>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</si>
  <si>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</si>
  <si>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</si>
  <si>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</si>
  <si>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</si>
  <si>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</si>
  <si>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</si>
  <si>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</si>
  <si>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</si>
  <si>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</si>
  <si>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</si>
  <si>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</si>
  <si>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</si>
  <si>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</si>
  <si>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</si>
  <si>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</si>
  <si>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</si>
  <si>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</si>
  <si>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</si>
  <si>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</si>
  <si>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</si>
  <si>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</si>
  <si>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</si>
  <si>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</si>
  <si>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</si>
  <si>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</si>
  <si>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</si>
  <si>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</si>
  <si>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</si>
  <si>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</si>
  <si>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</si>
  <si>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</si>
  <si>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</si>
  <si>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</si>
  <si>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</si>
  <si>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</si>
  <si>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</si>
  <si>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</si>
  <si>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</si>
  <si>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</si>
  <si>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</si>
  <si>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</si>
  <si>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</si>
  <si>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</si>
  <si>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</si>
  <si>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</si>
  <si>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</si>
  <si>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</si>
  <si>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</si>
  <si>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</si>
  <si>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</si>
  <si>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</si>
  <si>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</si>
  <si>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</si>
  <si>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</si>
  <si>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</si>
  <si>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</si>
  <si>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</si>
  <si>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</si>
  <si>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</si>
  <si>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</si>
  <si>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</si>
  <si>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</si>
  <si>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</si>
  <si>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</si>
  <si>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</si>
  <si>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</si>
  <si>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</si>
  <si>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</si>
  <si>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</si>
  <si>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</si>
  <si>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</si>
  <si>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</si>
  <si>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</si>
  <si>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</si>
  <si>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</si>
  <si>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</si>
  <si>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</si>
  <si>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</si>
  <si>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</si>
  <si>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</si>
  <si>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</si>
  <si>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</si>
  <si>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</si>
  <si>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</si>
  <si>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</si>
  <si>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</si>
  <si>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</si>
  <si>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</si>
  <si>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</si>
  <si>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</si>
  <si>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</si>
  <si>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</si>
  <si>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</si>
  <si>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</si>
  <si>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</si>
  <si>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</si>
  <si>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</si>
  <si>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</si>
  <si>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</si>
  <si>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</si>
  <si>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</si>
  <si>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</si>
  <si>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</si>
  <si>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</si>
  <si>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</si>
  <si>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</si>
  <si>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</si>
  <si>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</si>
  <si>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</si>
  <si>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</si>
  <si>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</si>
  <si>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</si>
  <si>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</si>
  <si>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</si>
  <si>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</si>
  <si>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</si>
  <si>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</si>
  <si>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</si>
  <si>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</si>
  <si>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</si>
  <si>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</si>
  <si>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</si>
  <si>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</si>
  <si>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</si>
  <si>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</si>
  <si>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</si>
  <si>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</si>
  <si>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</si>
  <si>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</si>
  <si>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</si>
  <si>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</si>
  <si>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</si>
  <si>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</si>
  <si>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</si>
  <si>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</si>
  <si>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</si>
  <si>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</si>
  <si>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</si>
  <si>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</si>
  <si>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</si>
  <si>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</si>
  <si>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</si>
  <si>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</si>
  <si>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</si>
  <si>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</si>
  <si>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</si>
  <si>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</si>
  <si>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</si>
  <si>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</si>
  <si>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</si>
  <si>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</si>
  <si>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</si>
  <si>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</si>
  <si>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</si>
  <si>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</si>
  <si>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</si>
  <si>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</si>
  <si>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</si>
  <si>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</si>
  <si>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</si>
  <si>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</si>
  <si>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</si>
  <si>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</si>
  <si>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</si>
  <si>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</si>
  <si>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</si>
  <si>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</si>
  <si>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</si>
  <si>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</si>
  <si>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</si>
  <si>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</si>
  <si>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</si>
  <si>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</si>
  <si>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</si>
  <si>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</si>
  <si>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</si>
  <si>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</si>
  <si>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</si>
  <si>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</si>
  <si>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</si>
  <si>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</si>
  <si>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</si>
  <si>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</si>
  <si>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</si>
  <si>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</si>
  <si>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</si>
  <si>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</si>
  <si>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</si>
  <si>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</si>
  <si>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</si>
  <si>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</si>
  <si>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</si>
  <si>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</si>
  <si>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</si>
  <si>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</si>
  <si>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</si>
  <si>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</si>
  <si>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</si>
  <si>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</si>
  <si>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</si>
  <si>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</si>
  <si>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</si>
  <si>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</si>
  <si>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</si>
  <si>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</si>
  <si>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</si>
  <si>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</si>
  <si>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</si>
  <si>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</si>
  <si>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</si>
  <si>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</si>
  <si>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</si>
  <si>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</si>
  <si>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</si>
  <si>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</si>
  <si>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</si>
  <si>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</si>
  <si>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</si>
  <si>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</si>
  <si>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</si>
  <si>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</si>
  <si>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</si>
  <si>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</si>
  <si>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</si>
  <si>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</si>
  <si>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</si>
  <si>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</si>
  <si>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</si>
  <si>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</si>
  <si>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</si>
  <si>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</si>
  <si>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</si>
  <si>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</si>
  <si>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</si>
  <si>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</si>
  <si>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</si>
  <si>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</si>
  <si>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</si>
  <si>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</si>
  <si>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</si>
  <si>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</si>
  <si>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</si>
  <si>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</si>
  <si>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</si>
  <si>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</si>
  <si>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</si>
  <si>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</si>
  <si>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</si>
  <si>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</si>
  <si>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</si>
  <si>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</si>
  <si>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</si>
  <si>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</si>
  <si>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</si>
  <si>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</si>
  <si>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</si>
  <si>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</si>
  <si>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</si>
  <si>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</si>
  <si>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</si>
  <si>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</si>
  <si>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</si>
  <si>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</si>
  <si>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</si>
  <si>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</si>
  <si>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</si>
  <si>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</si>
  <si>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</si>
  <si>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</si>
  <si>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</si>
  <si>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</si>
  <si>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</si>
  <si>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</si>
  <si>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</si>
  <si>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</si>
  <si>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</si>
  <si>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</si>
  <si>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</si>
  <si>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</si>
  <si>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</si>
  <si>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</si>
  <si>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</si>
  <si>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</si>
  <si>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</si>
  <si>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</si>
  <si>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</si>
  <si>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</si>
  <si>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</si>
  <si>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</si>
  <si>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</si>
  <si>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</si>
  <si>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</si>
  <si>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</si>
  <si>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</si>
  <si>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</si>
  <si>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</si>
  <si>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</si>
  <si>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</si>
  <si>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</si>
  <si>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</si>
  <si>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</si>
  <si>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</si>
  <si>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</si>
  <si>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</si>
  <si>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</si>
  <si>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</si>
  <si>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</si>
  <si>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</si>
  <si>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</si>
  <si>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</si>
  <si>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</si>
  <si>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</si>
  <si>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</si>
  <si>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</si>
  <si>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</si>
  <si>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</si>
  <si>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</si>
  <si>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</si>
  <si>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</si>
  <si>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</si>
  <si>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</si>
  <si>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</si>
  <si>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</si>
  <si>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</si>
  <si>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</si>
  <si>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</si>
  <si>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</si>
  <si>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</si>
  <si>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</si>
  <si>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</si>
  <si>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</si>
  <si>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</si>
  <si>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</si>
  <si>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</si>
  <si>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</si>
  <si>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</si>
  <si>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</si>
  <si>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</si>
  <si>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</si>
  <si>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</si>
  <si>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</si>
  <si>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</si>
  <si>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</si>
  <si>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</si>
  <si>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</si>
  <si>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</si>
  <si>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</si>
  <si>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</si>
  <si>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</si>
  <si>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</si>
  <si>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</si>
  <si>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</si>
  <si>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</si>
  <si>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</si>
  <si>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</si>
  <si>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</si>
  <si>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</si>
  <si>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</si>
  <si>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</si>
  <si>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</si>
  <si>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</si>
  <si>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</si>
  <si>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</si>
  <si>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</si>
  <si>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</si>
  <si>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</si>
  <si>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</si>
  <si>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</si>
  <si>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</si>
  <si>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</si>
  <si>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</si>
  <si>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</si>
  <si>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</si>
  <si>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</si>
  <si>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</si>
  <si>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</si>
  <si>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</si>
  <si>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</si>
  <si>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</si>
  <si>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</si>
  <si>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</si>
  <si>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</si>
  <si>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</si>
  <si>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</si>
  <si>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</si>
  <si>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</si>
  <si>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</si>
  <si>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</si>
  <si>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</si>
  <si>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</si>
  <si>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</si>
  <si>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</si>
  <si>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</si>
  <si>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</si>
  <si>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</si>
  <si>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</si>
  <si>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</si>
  <si>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</si>
  <si>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</si>
  <si>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</si>
  <si>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</si>
  <si>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</si>
  <si>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</si>
  <si>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</si>
  <si>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</si>
  <si>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</si>
  <si>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</si>
  <si>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</si>
  <si>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</si>
  <si>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</si>
  <si>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</si>
  <si>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</si>
  <si>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</si>
  <si>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</si>
  <si>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</si>
  <si>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</si>
  <si>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</si>
  <si>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</si>
  <si>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</si>
  <si>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</si>
  <si>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</si>
  <si>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</si>
  <si>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</si>
  <si>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</si>
  <si>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</si>
  <si>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</si>
  <si>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</si>
  <si>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</si>
  <si>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</si>
  <si>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</si>
  <si>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</si>
  <si>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</si>
  <si>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</si>
  <si>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</si>
  <si>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</si>
  <si>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</si>
  <si>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</si>
  <si>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</si>
  <si>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</si>
  <si>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</si>
  <si>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</si>
  <si>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</si>
  <si>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</si>
  <si>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</si>
  <si>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</si>
  <si>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</si>
  <si>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</si>
  <si>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</si>
  <si>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</si>
  <si>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</si>
  <si>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</si>
  <si>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</si>
  <si>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</si>
  <si>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</si>
  <si>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</si>
  <si>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</si>
  <si>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</si>
  <si>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</si>
  <si>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</si>
  <si>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</si>
  <si>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</si>
  <si>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</si>
  <si>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</si>
  <si>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</si>
  <si>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</si>
  <si>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</si>
  <si>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</si>
  <si>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</si>
  <si>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</si>
  <si>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</si>
  <si>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</si>
  <si>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</si>
  <si>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</si>
  <si>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</si>
  <si>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</si>
  <si>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</si>
  <si>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</si>
  <si>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</si>
  <si>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</si>
  <si>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</si>
  <si>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</si>
  <si>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</si>
  <si>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</si>
  <si>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</si>
  <si>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</si>
  <si>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</si>
  <si>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</si>
  <si>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</si>
  <si>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</si>
  <si>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</si>
  <si>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</si>
  <si>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</si>
  <si>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</si>
  <si>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</si>
  <si>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</si>
  <si>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</si>
  <si>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</si>
  <si>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</si>
  <si>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</si>
  <si>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</si>
  <si>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</si>
  <si>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</si>
  <si>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</si>
  <si>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</si>
  <si>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</si>
  <si>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</si>
  <si>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</si>
  <si>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</si>
  <si>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</si>
  <si>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</si>
  <si>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</si>
  <si>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</si>
  <si>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</si>
  <si>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</si>
  <si>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</si>
  <si>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</si>
  <si>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</si>
  <si>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</si>
  <si>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</si>
  <si>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</si>
  <si>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</si>
  <si>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</si>
  <si>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</si>
  <si>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</si>
  <si>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</si>
  <si>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</si>
  <si>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</si>
  <si>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</si>
  <si>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</si>
  <si>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</si>
  <si>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</si>
  <si>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</si>
  <si>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</si>
  <si>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</si>
  <si>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</si>
  <si>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</si>
  <si>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</si>
  <si>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</si>
  <si>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</si>
  <si>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</si>
  <si>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</si>
  <si>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</si>
  <si>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</si>
  <si>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</si>
  <si>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</si>
  <si>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</si>
  <si>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</si>
  <si>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</si>
  <si>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</si>
  <si>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</si>
  <si>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</si>
  <si>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</si>
  <si>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</si>
  <si>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</si>
  <si>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</si>
  <si>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</si>
  <si>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</si>
  <si>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</si>
  <si>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</si>
  <si>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</si>
  <si>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</si>
  <si>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</si>
  <si>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</si>
  <si>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</si>
  <si>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</si>
  <si>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</si>
  <si>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</si>
  <si>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</si>
  <si>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</si>
  <si>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</si>
  <si>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</si>
  <si>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</si>
  <si>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</si>
  <si>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</si>
  <si>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</si>
  <si>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</si>
  <si>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</si>
  <si>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</si>
  <si>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</si>
  <si>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</si>
  <si>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</si>
  <si>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</si>
  <si>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</si>
  <si>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</si>
  <si>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</si>
  <si>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</si>
  <si>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</si>
  <si>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</si>
  <si>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</si>
  <si>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</si>
  <si>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</si>
  <si>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</si>
  <si>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</si>
  <si>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</si>
  <si>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</si>
  <si>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</si>
  <si>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</si>
  <si>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</si>
  <si>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</si>
  <si>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</si>
  <si>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</si>
  <si>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</si>
  <si>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</si>
  <si>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</si>
  <si>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</si>
  <si>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</si>
  <si>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</si>
  <si>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</si>
  <si>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</si>
  <si>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</si>
  <si>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</si>
  <si>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</si>
  <si>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</si>
  <si>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</si>
  <si>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</si>
  <si>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</si>
  <si>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</si>
  <si>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</si>
  <si>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</si>
  <si>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</si>
  <si>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</si>
  <si>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</si>
  <si>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</si>
  <si>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</si>
  <si>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</si>
  <si>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</si>
  <si>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</si>
  <si>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</si>
  <si>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</si>
  <si>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</si>
  <si>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</si>
  <si>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</si>
  <si>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</si>
  <si>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</si>
  <si>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</si>
  <si>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</si>
  <si>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</si>
  <si>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</si>
  <si>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</si>
  <si>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</si>
  <si>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</si>
  <si>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</si>
  <si>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</si>
  <si>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</si>
  <si>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</si>
  <si>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</si>
  <si>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</si>
  <si>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</si>
  <si>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</si>
  <si>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</si>
  <si>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</si>
  <si>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</si>
  <si>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</si>
  <si>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</si>
  <si>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</si>
  <si>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</si>
  <si>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</si>
  <si>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</si>
  <si>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</si>
  <si>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</si>
  <si>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</si>
  <si>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</si>
  <si>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</si>
  <si>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</si>
  <si>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</si>
  <si>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</si>
  <si>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</si>
  <si>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</si>
  <si>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</si>
  <si>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</si>
  <si>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</si>
  <si>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</si>
  <si>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</si>
  <si>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</si>
  <si>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</si>
  <si>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</si>
  <si>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</si>
  <si>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</si>
  <si>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</si>
  <si>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</si>
  <si>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</si>
  <si>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</si>
  <si>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</si>
  <si>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</si>
  <si>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</si>
  <si>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</si>
  <si>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</si>
  <si>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</si>
  <si>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</si>
  <si>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</si>
  <si>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</si>
  <si>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</si>
  <si>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</si>
  <si>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</si>
  <si>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</si>
  <si>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</si>
  <si>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</si>
  <si>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</si>
  <si>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</si>
  <si>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</si>
  <si>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</si>
  <si>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</si>
  <si>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</si>
  <si>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</si>
  <si>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</si>
  <si>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</si>
  <si>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</si>
  <si>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</si>
  <si>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</si>
  <si>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</si>
  <si>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</si>
  <si>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</si>
  <si>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</si>
  <si>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</si>
  <si>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</si>
  <si>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</si>
  <si>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</si>
  <si>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</si>
  <si>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</si>
  <si>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</si>
  <si>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</si>
  <si>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</si>
  <si>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</si>
  <si>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</si>
  <si>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</si>
  <si>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</si>
  <si>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</si>
  <si>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</si>
  <si>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</si>
  <si>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</si>
  <si>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</si>
  <si>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</si>
  <si>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</si>
  <si>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</si>
  <si>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</si>
  <si>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</si>
  <si>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</si>
  <si>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</si>
  <si>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</si>
  <si>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</si>
  <si>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</si>
  <si>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</si>
  <si>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</si>
  <si>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</si>
  <si>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</si>
  <si>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</si>
  <si>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</si>
  <si>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</si>
  <si>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</si>
  <si>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</si>
  <si>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</si>
  <si>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</si>
  <si>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</si>
  <si>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</si>
  <si>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</si>
  <si>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</si>
  <si>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</si>
  <si>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</si>
  <si>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</si>
  <si>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</si>
  <si>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</si>
  <si>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</si>
  <si>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</si>
  <si>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</si>
  <si>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</si>
  <si>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</si>
  <si>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</si>
  <si>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</si>
  <si>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</si>
  <si>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</si>
  <si>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</si>
  <si>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</si>
  <si>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</si>
  <si>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</si>
  <si>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</si>
  <si>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</si>
  <si>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</si>
  <si>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</si>
  <si>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</si>
  <si>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</si>
  <si>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</si>
  <si>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</si>
  <si>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</si>
  <si>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</si>
  <si>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</si>
  <si>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</si>
  <si>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</si>
  <si>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</si>
  <si>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</si>
  <si>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</si>
  <si>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</si>
  <si>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</si>
  <si>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</si>
  <si>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</si>
  <si>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</si>
  <si>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</si>
  <si>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</si>
  <si>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</si>
  <si>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</si>
  <si>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</si>
  <si>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</si>
  <si>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</si>
  <si>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</si>
  <si>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</si>
  <si>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</si>
  <si>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</si>
  <si>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</si>
  <si>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</si>
  <si>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</si>
  <si>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</si>
  <si>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</si>
  <si>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</si>
  <si>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</si>
  <si>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</si>
  <si>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</si>
  <si>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</si>
  <si>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</si>
  <si>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</si>
  <si>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</si>
  <si>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</si>
  <si>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</si>
  <si>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</si>
  <si>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</si>
  <si>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</si>
  <si>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</si>
  <si>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</si>
  <si>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</si>
  <si>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</si>
  <si>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</si>
  <si>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</si>
  <si>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</si>
  <si>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</si>
  <si>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</si>
  <si>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</si>
  <si>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</si>
  <si>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</si>
  <si>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</si>
  <si>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</si>
  <si>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</si>
  <si>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</si>
  <si>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</si>
  <si>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</si>
  <si>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</si>
  <si>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</si>
  <si>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</si>
  <si>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</si>
  <si>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</si>
  <si>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</si>
  <si>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</si>
  <si>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</si>
  <si>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</si>
  <si>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</si>
  <si>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</si>
  <si>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</si>
  <si>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</si>
  <si>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</si>
  <si>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</si>
  <si>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</si>
  <si>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</si>
  <si>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</si>
  <si>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</si>
  <si>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</si>
  <si>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</si>
  <si>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</si>
  <si>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</si>
  <si>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</si>
  <si>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</si>
  <si>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</si>
  <si>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</si>
  <si>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</si>
  <si>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</si>
  <si>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</si>
  <si>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</si>
  <si>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</si>
  <si>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</si>
  <si>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</si>
  <si>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</si>
  <si>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</si>
  <si>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</si>
  <si>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</si>
  <si>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</si>
  <si>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</si>
  <si>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</si>
  <si>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</si>
  <si>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</si>
  <si>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</si>
  <si>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</si>
  <si>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</si>
  <si>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</si>
  <si>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</si>
  <si>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</si>
  <si>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</si>
  <si>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</si>
  <si>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</si>
  <si>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</si>
  <si>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</si>
  <si>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</si>
  <si>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</si>
  <si>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</si>
  <si>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</si>
  <si>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</si>
  <si>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</si>
  <si>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</si>
  <si>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</si>
  <si>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</si>
  <si>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</si>
  <si>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</si>
  <si>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</si>
  <si>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</si>
  <si>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</si>
  <si>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</si>
  <si>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</si>
  <si>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</si>
  <si>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</si>
  <si>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</si>
  <si>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</si>
  <si>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</si>
  <si>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</si>
  <si>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</si>
  <si>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</si>
  <si>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</si>
  <si>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</si>
  <si>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</si>
  <si>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</si>
  <si>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</si>
  <si>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</si>
  <si>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</si>
  <si>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</si>
  <si>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</si>
  <si>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</si>
  <si>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</si>
  <si>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</si>
  <si>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</si>
  <si>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</si>
  <si>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</si>
  <si>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</si>
  <si>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</si>
  <si>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</si>
  <si>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</si>
  <si>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</si>
  <si>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</si>
  <si>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</si>
  <si>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</si>
  <si>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</si>
  <si>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</si>
  <si>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</si>
  <si>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</si>
  <si>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</si>
  <si>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</si>
  <si>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</si>
  <si>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</si>
  <si>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</si>
  <si>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</si>
  <si>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</si>
  <si>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</si>
  <si>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</si>
  <si>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</si>
  <si>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</si>
  <si>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</si>
  <si>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</si>
  <si>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</si>
  <si>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</si>
  <si>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</si>
  <si>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</si>
  <si>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</si>
  <si>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</si>
  <si>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</si>
  <si>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</si>
  <si>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</si>
  <si>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</si>
  <si>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</si>
  <si>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</si>
  <si>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</si>
  <si>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</si>
  <si>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</si>
  <si>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</si>
  <si>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</si>
  <si>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</si>
  <si>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</si>
  <si>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</si>
  <si>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</si>
  <si>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</si>
  <si>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</si>
  <si>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</si>
  <si>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</si>
  <si>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</si>
  <si>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</si>
  <si>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</si>
  <si>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</si>
  <si>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</si>
  <si>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</si>
  <si>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</si>
  <si>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</si>
  <si>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</si>
  <si>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</si>
  <si>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</si>
  <si>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</si>
  <si>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</si>
  <si>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</si>
  <si>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</si>
  <si>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</si>
  <si>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</si>
  <si>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</si>
  <si>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</si>
  <si>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</si>
  <si>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</si>
  <si>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</si>
  <si>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</si>
  <si>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</si>
  <si>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</si>
  <si>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</si>
  <si>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</si>
  <si>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</si>
  <si>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</si>
  <si>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</si>
  <si>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</si>
  <si>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</si>
  <si>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</si>
  <si>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</si>
  <si>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</si>
  <si>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</si>
  <si>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</si>
  <si>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</si>
  <si>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</si>
  <si>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</si>
  <si>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</si>
  <si>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</si>
  <si>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</si>
  <si>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</si>
  <si>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</si>
  <si>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</si>
  <si>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</si>
  <si>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</si>
  <si>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</si>
  <si>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</si>
  <si>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</si>
  <si>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</si>
  <si>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</si>
  <si>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</si>
  <si>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</si>
  <si>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</si>
  <si>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</si>
  <si>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</si>
  <si>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</si>
  <si>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</si>
  <si>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</si>
  <si>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</si>
  <si>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</si>
  <si>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</si>
  <si>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</si>
  <si>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</si>
  <si>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</si>
  <si>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</si>
  <si>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</si>
  <si>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</si>
  <si>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</si>
  <si>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</si>
  <si>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</si>
  <si>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</si>
  <si>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</si>
  <si>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</si>
  <si>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</si>
  <si>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</si>
  <si>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</si>
  <si>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</si>
  <si>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</si>
  <si>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</si>
  <si>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</si>
  <si>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</si>
  <si>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</si>
  <si>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</si>
  <si>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</si>
  <si>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</si>
  <si>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</si>
  <si>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</si>
  <si>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</si>
  <si>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</si>
  <si>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</si>
  <si>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</si>
  <si>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</si>
  <si>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</si>
  <si>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</si>
  <si>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</si>
  <si>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</si>
  <si>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</si>
  <si>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</si>
  <si>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</si>
  <si>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</si>
  <si>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</si>
  <si>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</si>
  <si>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</si>
  <si>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</si>
  <si>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</si>
  <si>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</si>
  <si>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</si>
  <si>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</si>
  <si>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</si>
  <si>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</si>
  <si>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</si>
  <si>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</si>
  <si>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</si>
  <si>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</si>
  <si>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</si>
  <si>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</si>
  <si>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</si>
  <si>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</si>
  <si>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</si>
  <si>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</si>
  <si>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</si>
  <si>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</si>
  <si>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</si>
  <si>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</si>
  <si>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</si>
  <si>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</si>
  <si>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</si>
  <si>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</si>
  <si>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</si>
  <si>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</si>
  <si>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</si>
  <si>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</si>
  <si>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</si>
  <si>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</si>
  <si>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</si>
  <si>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</si>
  <si>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</si>
  <si>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</si>
  <si>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</si>
  <si>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</si>
  <si>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</si>
  <si>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</si>
  <si>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</si>
  <si>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</si>
  <si>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</si>
  <si>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</si>
  <si>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</si>
  <si>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</si>
  <si>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</si>
  <si>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</si>
  <si>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</si>
  <si>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</si>
  <si>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</si>
  <si>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</si>
  <si>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</si>
  <si>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</si>
  <si>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</si>
  <si>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</si>
  <si>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</si>
  <si>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</si>
  <si>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</si>
  <si>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</si>
  <si>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</si>
  <si>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</si>
  <si>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</si>
  <si>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</si>
  <si>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</si>
  <si>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</si>
  <si>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</si>
  <si>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</si>
  <si>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</si>
  <si>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</si>
  <si>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</si>
  <si>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</si>
  <si>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</si>
  <si>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</si>
  <si>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</si>
  <si>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</si>
  <si>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</si>
  <si>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</si>
  <si>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</si>
  <si>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</si>
  <si>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</si>
  <si>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</si>
  <si>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</si>
  <si>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</si>
  <si>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</si>
  <si>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</si>
  <si>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</si>
  <si>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</si>
  <si>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</si>
  <si>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</si>
  <si>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</si>
  <si>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</si>
  <si>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</si>
  <si>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</si>
  <si>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</si>
  <si>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</si>
  <si>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</si>
  <si>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</si>
  <si>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</si>
  <si>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</si>
  <si>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</si>
  <si>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</si>
  <si>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</si>
  <si>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</si>
  <si>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</si>
  <si>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</si>
  <si>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</si>
  <si>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</si>
  <si>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</si>
  <si>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</si>
  <si>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</si>
  <si>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</si>
  <si>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</si>
  <si>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</si>
  <si>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</si>
  <si>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</si>
  <si>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</si>
  <si>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</si>
  <si>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</si>
  <si>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</si>
  <si>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</si>
  <si>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</si>
  <si>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</si>
  <si>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</si>
  <si>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</si>
  <si>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</si>
  <si>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</si>
  <si>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</si>
  <si>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</si>
  <si>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</si>
  <si>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</si>
  <si>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</si>
  <si>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</si>
  <si>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</si>
  <si>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</si>
  <si>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</si>
  <si>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</si>
  <si>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</si>
  <si>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</si>
  <si>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</si>
  <si>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</si>
  <si>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</si>
  <si>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</si>
  <si>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</si>
  <si>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</si>
  <si>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</si>
  <si>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</si>
  <si>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</si>
  <si>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</si>
  <si>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</si>
  <si>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</si>
  <si>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</si>
  <si>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</si>
  <si>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</si>
  <si>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</si>
  <si>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</si>
  <si>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</si>
  <si>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</si>
  <si>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</si>
  <si>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</si>
  <si>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</si>
  <si>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</si>
  <si>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</si>
  <si>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</si>
  <si>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</si>
  <si>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</si>
  <si>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</si>
  <si>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</si>
  <si>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</si>
  <si>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</si>
  <si>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</si>
  <si>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</si>
  <si>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</si>
  <si>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</si>
  <si>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</si>
  <si>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</si>
  <si>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</si>
  <si>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</si>
  <si>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</si>
  <si>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</si>
  <si>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</si>
  <si>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</si>
  <si>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</si>
  <si>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</si>
  <si>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</si>
  <si>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</si>
  <si>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</si>
  <si>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</si>
  <si>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</si>
  <si>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</si>
  <si>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</si>
  <si>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</si>
  <si>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</si>
  <si>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</si>
  <si>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</si>
  <si>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</si>
  <si>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</si>
  <si>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</si>
  <si>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</si>
  <si>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</si>
  <si>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</si>
  <si>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</si>
  <si>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</si>
  <si>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</si>
  <si>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</si>
  <si>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</si>
  <si>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</si>
  <si>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</si>
  <si>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</si>
  <si>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</si>
  <si>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</si>
  <si>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</si>
  <si>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</si>
  <si>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</si>
  <si>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</si>
  <si>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</si>
  <si>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</si>
  <si>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</si>
  <si>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</si>
  <si>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</si>
  <si>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</si>
  <si>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</si>
  <si>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</si>
  <si>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</si>
  <si>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</si>
  <si>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</si>
  <si>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</si>
  <si>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</si>
  <si>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</si>
  <si>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</si>
  <si>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</si>
  <si>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</si>
  <si>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</si>
  <si>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</si>
  <si>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</si>
  <si>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</si>
  <si>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</si>
  <si>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</si>
  <si>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</si>
  <si>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</si>
  <si>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</si>
  <si>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</si>
  <si>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</si>
  <si>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</si>
  <si>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</si>
  <si>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</si>
  <si>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</si>
  <si>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</si>
  <si>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</si>
  <si>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</si>
  <si>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</si>
  <si>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</si>
  <si>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</si>
  <si>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</si>
  <si>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</si>
  <si>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</si>
  <si>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</si>
  <si>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</si>
  <si>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</si>
  <si>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</si>
  <si>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</si>
  <si>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</si>
  <si>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</si>
  <si>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</si>
  <si>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</si>
  <si>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</si>
  <si>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</si>
  <si>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</si>
  <si>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</si>
  <si>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</si>
  <si>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</si>
  <si>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</si>
  <si>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</si>
  <si>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</si>
  <si>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</si>
  <si>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</si>
  <si>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</si>
  <si>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</si>
  <si>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</si>
  <si>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</si>
  <si>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</si>
  <si>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</si>
  <si>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</si>
  <si>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</si>
  <si>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</si>
  <si>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</si>
  <si>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</si>
  <si>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</si>
  <si>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</si>
  <si>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</si>
  <si>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</si>
  <si>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</si>
  <si>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</si>
  <si>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</si>
  <si>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</si>
  <si>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</si>
  <si>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</si>
  <si>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</si>
  <si>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</si>
  <si>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</si>
  <si>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</si>
  <si>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</si>
  <si>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</si>
  <si>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</si>
  <si>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</si>
  <si>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</si>
  <si>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</si>
  <si>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</si>
  <si>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</si>
  <si>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</si>
  <si>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</si>
  <si>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</si>
  <si>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</si>
  <si>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</si>
  <si>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</si>
  <si>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</si>
  <si>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</si>
  <si>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</si>
  <si>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</si>
  <si>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</si>
  <si>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</si>
  <si>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</si>
  <si>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</si>
  <si>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</si>
  <si>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</si>
  <si>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</si>
  <si>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</si>
  <si>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</si>
  <si>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</si>
  <si>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</si>
  <si>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</si>
  <si>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</si>
  <si>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</si>
  <si>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</si>
  <si>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</si>
  <si>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</si>
  <si>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</si>
  <si>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</si>
  <si>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</si>
  <si>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</si>
  <si>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</si>
  <si>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</si>
  <si>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</si>
  <si>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</si>
  <si>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</si>
  <si>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</si>
  <si>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</si>
  <si>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</si>
  <si>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</si>
  <si>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</si>
  <si>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</si>
  <si>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</si>
  <si>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</si>
  <si>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</si>
  <si>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</si>
  <si>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</si>
  <si>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</si>
  <si>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</si>
  <si>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</si>
  <si>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</si>
  <si>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</si>
  <si>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</si>
  <si>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</si>
  <si>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</si>
  <si>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</si>
  <si>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</si>
  <si>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</si>
  <si>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</si>
  <si>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</si>
  <si>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</si>
  <si>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</si>
  <si>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</si>
  <si>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</si>
  <si>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</si>
  <si>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</si>
  <si>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</si>
  <si>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</si>
  <si>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</si>
  <si>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</si>
  <si>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</si>
  <si>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</si>
  <si>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</si>
  <si>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</si>
  <si>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</si>
  <si>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</si>
  <si>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</si>
  <si>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</si>
  <si>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</si>
  <si>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</si>
  <si>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</si>
  <si>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</si>
  <si>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</si>
  <si>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</si>
  <si>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</si>
  <si>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</si>
  <si>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</si>
  <si>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</si>
  <si>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</si>
  <si>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</si>
  <si>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</si>
  <si>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</si>
  <si>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</si>
  <si>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</si>
  <si>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</si>
  <si>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</si>
  <si>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</si>
  <si>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</si>
  <si>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</si>
  <si>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</si>
  <si>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</si>
  <si>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</si>
  <si>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</si>
  <si>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</si>
  <si>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</si>
  <si>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</si>
  <si>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</si>
  <si>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</si>
  <si>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</si>
  <si>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</si>
  <si>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</si>
  <si>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</si>
  <si>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</si>
  <si>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</si>
  <si>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</si>
  <si>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</si>
  <si>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</si>
  <si>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</si>
  <si>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</si>
  <si>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</si>
  <si>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</si>
  <si>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</si>
  <si>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</si>
  <si>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</si>
  <si>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</si>
  <si>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</si>
  <si>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</si>
  <si>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</si>
  <si>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</si>
  <si>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</si>
  <si>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</si>
  <si>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</si>
  <si>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</si>
  <si>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</si>
  <si>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</si>
  <si>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</si>
  <si>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</si>
  <si>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</si>
  <si>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</si>
  <si>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</si>
  <si>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</si>
  <si>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</si>
  <si>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</si>
  <si>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</si>
  <si>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</si>
  <si>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</si>
  <si>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</si>
  <si>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</si>
  <si>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</si>
  <si>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</si>
  <si>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</si>
  <si>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</si>
  <si>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</si>
  <si>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</si>
  <si>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</si>
  <si>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</si>
  <si>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</si>
  <si>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</si>
  <si>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</si>
  <si>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</si>
  <si>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</si>
  <si>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</si>
  <si>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</si>
  <si>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</si>
  <si>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</si>
  <si>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</si>
  <si>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</si>
  <si>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</si>
  <si>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</si>
  <si>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</si>
  <si>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</si>
  <si>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</si>
  <si>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</si>
  <si>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</si>
  <si>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</si>
  <si>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</si>
  <si>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</si>
  <si>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</si>
  <si>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</si>
  <si>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</si>
  <si>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</si>
  <si>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</si>
  <si>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</si>
  <si>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</si>
  <si>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</si>
  <si>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</si>
  <si>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</si>
  <si>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</si>
  <si>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</si>
  <si>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</si>
  <si>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</si>
  <si>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</si>
  <si>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</si>
  <si>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</si>
  <si>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</si>
  <si>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</si>
  <si>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</si>
  <si>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</si>
  <si>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</si>
  <si>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</si>
  <si>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</si>
  <si>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</si>
  <si>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</si>
  <si>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</si>
  <si>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</si>
  <si>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</si>
  <si>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</si>
  <si>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</si>
  <si>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</si>
  <si>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</si>
  <si>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</si>
  <si>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</si>
  <si>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</si>
  <si>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</si>
  <si>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</si>
  <si>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</si>
  <si>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</si>
  <si>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</si>
  <si>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</si>
  <si>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</si>
  <si>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</si>
  <si>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</si>
  <si>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</si>
  <si>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</si>
  <si>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</si>
  <si>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</si>
  <si>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</si>
  <si>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</si>
  <si>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</si>
  <si>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</si>
  <si>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</si>
  <si>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</si>
  <si>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</si>
  <si>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</si>
  <si>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</si>
  <si>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</si>
  <si>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</si>
  <si>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</si>
  <si>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</si>
  <si>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</si>
  <si>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</si>
  <si>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</si>
  <si>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</si>
  <si>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</si>
  <si>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</si>
  <si>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</si>
  <si>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</si>
  <si>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</si>
  <si>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</si>
  <si>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</si>
  <si>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</si>
  <si>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</si>
  <si>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</si>
  <si>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</si>
  <si>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</si>
  <si>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</si>
  <si>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</si>
  <si>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</si>
  <si>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</si>
  <si>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</si>
  <si>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</si>
  <si>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</si>
  <si>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</si>
  <si>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</si>
  <si>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</si>
  <si>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</si>
  <si>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</si>
  <si>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</si>
  <si>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</si>
  <si>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</si>
  <si>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</si>
  <si>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</si>
  <si>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</si>
  <si>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</si>
  <si>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</si>
  <si>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</si>
  <si>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</si>
  <si>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</si>
  <si>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</si>
  <si>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</si>
  <si>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</si>
  <si>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</si>
  <si>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</si>
  <si>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</si>
  <si>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</si>
  <si>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</si>
  <si>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</si>
  <si>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</si>
  <si>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</si>
  <si>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</si>
  <si>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</si>
  <si>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</si>
  <si>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</si>
  <si>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</si>
  <si>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</si>
  <si>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</si>
  <si>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</si>
  <si>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</si>
  <si>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</si>
  <si>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</si>
  <si>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</si>
  <si>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</si>
  <si>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</si>
  <si>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</si>
  <si>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</si>
  <si>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</si>
  <si>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</si>
  <si>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</si>
  <si>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</si>
  <si>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</si>
  <si>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</si>
  <si>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</si>
  <si>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</si>
  <si>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</si>
  <si>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</si>
  <si>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</si>
  <si>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</si>
  <si>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</si>
  <si>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</si>
  <si>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</si>
  <si>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</si>
  <si>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</si>
  <si>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</si>
  <si>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</si>
  <si>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</si>
  <si>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</si>
  <si>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</si>
  <si>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</si>
  <si>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</si>
  <si>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</si>
  <si>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</si>
  <si>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</si>
  <si>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</si>
  <si>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</si>
  <si>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</si>
  <si>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</si>
  <si>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</si>
  <si>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</si>
  <si>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</si>
  <si>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</si>
  <si>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</si>
  <si>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</si>
  <si>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</si>
  <si>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</si>
  <si>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</si>
  <si>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</si>
  <si>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</si>
  <si>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</si>
  <si>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</si>
  <si>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</si>
  <si>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</si>
  <si>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</si>
  <si>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</si>
  <si>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</si>
  <si>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</si>
  <si>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</si>
  <si>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</si>
  <si>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</si>
  <si>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</si>
  <si>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</si>
  <si>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</si>
  <si>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</si>
  <si>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</si>
  <si>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</si>
  <si>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</si>
  <si>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</si>
  <si>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</si>
  <si>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</si>
  <si>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</si>
  <si>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</si>
  <si>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</si>
  <si>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</si>
  <si>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</si>
  <si>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</si>
  <si>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</si>
  <si>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</si>
  <si>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</si>
  <si>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</si>
  <si>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</si>
  <si>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</si>
  <si>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</si>
  <si>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</si>
  <si>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</si>
  <si>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</si>
  <si>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</si>
  <si>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</si>
  <si>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</si>
  <si>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</si>
  <si>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</si>
  <si>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</si>
  <si>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</si>
  <si>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</si>
  <si>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</si>
  <si>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</si>
  <si>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</si>
  <si>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</si>
  <si>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</si>
  <si>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</si>
  <si>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</si>
  <si>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</si>
  <si>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</si>
  <si>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</si>
  <si>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</si>
  <si>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</si>
  <si>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</si>
  <si>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</si>
  <si>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</si>
  <si>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</si>
  <si>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</si>
  <si>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</si>
  <si>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</si>
  <si>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</si>
  <si>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</si>
  <si>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</si>
  <si>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</si>
  <si>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</si>
  <si>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</si>
  <si>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</si>
  <si>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</si>
  <si>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</si>
  <si>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</si>
  <si>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</si>
  <si>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</si>
  <si>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</si>
  <si>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</si>
  <si>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</si>
  <si>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</si>
  <si>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</si>
  <si>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</si>
  <si>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</si>
  <si>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</si>
  <si>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</si>
  <si>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</si>
  <si>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</si>
  <si>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</si>
  <si>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</si>
  <si>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</si>
  <si>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</si>
  <si>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</si>
  <si>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</si>
  <si>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</si>
  <si>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</si>
  <si>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</si>
  <si>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</si>
  <si>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</si>
  <si>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</si>
  <si>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</si>
  <si>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</si>
  <si>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</si>
  <si>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</si>
  <si>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</si>
  <si>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</si>
  <si>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</si>
  <si>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</si>
  <si>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</si>
  <si>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</si>
  <si>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</si>
  <si>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</si>
  <si>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</si>
  <si>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</si>
  <si>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</si>
  <si>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</si>
  <si>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</si>
  <si>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</si>
  <si>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</si>
  <si>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</si>
  <si>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</si>
  <si>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</si>
  <si>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</si>
  <si>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</si>
  <si>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</si>
  <si>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</si>
  <si>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</si>
  <si>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</si>
  <si>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</si>
  <si>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</si>
  <si>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</si>
  <si>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</si>
  <si>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</si>
  <si>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</si>
  <si>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</si>
  <si>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</si>
  <si>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</si>
  <si>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</si>
  <si>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</si>
  <si>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</si>
  <si>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</si>
  <si>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</si>
  <si>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</si>
  <si>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</si>
  <si>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</si>
  <si>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</si>
  <si>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</si>
  <si>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</si>
  <si>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</si>
  <si>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</si>
  <si>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</si>
  <si>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</si>
  <si>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</si>
  <si>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</si>
  <si>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</si>
  <si>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</si>
  <si>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</si>
  <si>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</si>
  <si>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</si>
  <si>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</si>
  <si>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</si>
  <si>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</si>
  <si>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</si>
  <si>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</si>
  <si>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</si>
  <si>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</si>
  <si>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</si>
  <si>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</si>
  <si>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</si>
  <si>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</si>
  <si>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</si>
  <si>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</si>
  <si>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</si>
  <si>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</si>
  <si>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</si>
  <si>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</si>
  <si>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</si>
  <si>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</si>
  <si>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</si>
  <si>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</si>
  <si>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</si>
  <si>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</si>
  <si>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</si>
  <si>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</si>
  <si>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</si>
  <si>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</si>
  <si>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</si>
  <si>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</si>
  <si>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</si>
  <si>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</si>
  <si>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</si>
  <si>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</si>
  <si>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</si>
  <si>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</si>
  <si>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</si>
  <si>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</si>
  <si>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</si>
  <si>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</si>
  <si>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</si>
  <si>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</si>
  <si>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</si>
  <si>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</si>
  <si>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</si>
  <si>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</si>
  <si>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</si>
  <si>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</si>
  <si>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</si>
  <si>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</si>
  <si>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</si>
  <si>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</si>
  <si>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</si>
  <si>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</si>
  <si>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</si>
  <si>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</si>
  <si>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</si>
  <si>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</si>
  <si>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</si>
  <si>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</si>
  <si>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</si>
  <si>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</si>
  <si>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</si>
  <si>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</si>
  <si>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</si>
  <si>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</si>
  <si>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</si>
  <si>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</si>
  <si>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</si>
  <si>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</si>
  <si>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</si>
  <si>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</si>
  <si>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</si>
  <si>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</si>
  <si>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</si>
  <si>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</si>
  <si>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</si>
  <si>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</si>
  <si>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</si>
  <si>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</si>
  <si>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</si>
  <si>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</si>
  <si>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</si>
  <si>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</si>
  <si>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</si>
  <si>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</si>
  <si>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</si>
  <si>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</si>
  <si>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</si>
  <si>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</si>
  <si>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</si>
  <si>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</si>
  <si>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</si>
  <si>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</si>
  <si>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</si>
  <si>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</si>
  <si>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</si>
  <si>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</si>
  <si>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</si>
  <si>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</si>
  <si>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</si>
  <si>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</si>
  <si>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</si>
  <si>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</si>
  <si>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</si>
  <si>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</si>
  <si>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</si>
  <si>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</si>
  <si>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</si>
  <si>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</si>
  <si>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</si>
  <si>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</si>
  <si>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</si>
  <si>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</si>
  <si>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</si>
  <si>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</si>
  <si>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</si>
  <si>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</si>
  <si>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</si>
  <si>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</si>
  <si>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</si>
  <si>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</si>
  <si>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</si>
  <si>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</si>
  <si>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</si>
  <si>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</si>
  <si>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</si>
  <si>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</si>
  <si>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</si>
  <si>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</si>
  <si>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</si>
  <si>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</si>
  <si>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</si>
  <si>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</si>
  <si>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</si>
  <si>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</si>
  <si>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</si>
  <si>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</si>
  <si>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</si>
  <si>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</si>
  <si>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</si>
  <si>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</si>
  <si>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</si>
  <si>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</si>
  <si>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</si>
  <si>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</si>
  <si>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</si>
  <si>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</si>
  <si>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</si>
  <si>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</si>
  <si>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</si>
  <si>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</si>
  <si>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</si>
  <si>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</si>
  <si>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</si>
  <si>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</si>
  <si>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</si>
  <si>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</si>
  <si>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</si>
  <si>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</si>
  <si>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</si>
  <si>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</si>
  <si>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</si>
  <si>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</si>
  <si>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</si>
  <si>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</si>
  <si>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</si>
  <si>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</si>
  <si>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</si>
  <si>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</si>
  <si>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</si>
  <si>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</si>
  <si>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</si>
  <si>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</si>
  <si>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</si>
  <si>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</si>
  <si>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</si>
  <si>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</si>
  <si>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</si>
  <si>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</si>
  <si>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</si>
  <si>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</si>
  <si>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</si>
  <si>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</si>
  <si>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</si>
  <si>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</si>
  <si>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</si>
  <si>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</si>
  <si>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</si>
  <si>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</si>
  <si>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</si>
  <si>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</si>
  <si>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</si>
  <si>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</si>
  <si>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</si>
  <si>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</si>
  <si>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</si>
  <si>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</si>
  <si>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</si>
  <si>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</si>
  <si>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</si>
  <si>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</si>
  <si>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</si>
  <si>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</si>
  <si>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</si>
  <si>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</si>
  <si>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</si>
  <si>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</si>
  <si>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</si>
  <si>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</si>
  <si>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</si>
  <si>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</si>
  <si>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</si>
  <si>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</si>
  <si>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</si>
  <si>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</si>
  <si>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</si>
  <si>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</si>
  <si>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</si>
  <si>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</si>
  <si>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</si>
  <si>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</si>
  <si>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</si>
  <si>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</si>
  <si>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</si>
  <si>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</si>
  <si>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</si>
  <si>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</si>
  <si>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</si>
  <si>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</si>
  <si>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</si>
  <si>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</si>
  <si>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</si>
  <si>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</si>
  <si>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</si>
  <si>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</si>
  <si>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</si>
  <si>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</si>
  <si>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</si>
  <si>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</si>
  <si>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</si>
  <si>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</si>
  <si>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</si>
  <si>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</si>
  <si>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</si>
  <si>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</si>
  <si>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</si>
  <si>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</si>
  <si>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</si>
  <si>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</si>
  <si>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</si>
  <si>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</si>
  <si>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</si>
  <si>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</si>
  <si>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</si>
  <si>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</si>
  <si>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</si>
  <si>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</si>
  <si>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</si>
  <si>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</si>
  <si>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</si>
  <si>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</si>
  <si>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</si>
  <si>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</si>
  <si>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</si>
  <si>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</si>
  <si>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</si>
  <si>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</si>
  <si>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</si>
  <si>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</si>
  <si>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</si>
  <si>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</si>
  <si>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</si>
  <si>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</si>
  <si>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</si>
  <si>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</si>
  <si>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</si>
  <si>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</si>
  <si>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</si>
  <si>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</si>
  <si>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</si>
  <si>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</si>
  <si>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</si>
  <si>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</si>
  <si>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</si>
  <si>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</si>
  <si>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</si>
  <si>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</si>
  <si>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</si>
  <si>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</si>
  <si>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</si>
  <si>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</si>
  <si>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</si>
  <si>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</si>
  <si>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</si>
  <si>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</si>
  <si>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</si>
  <si>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</si>
  <si>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</si>
  <si>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</si>
  <si>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</si>
  <si>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</si>
  <si>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</si>
  <si>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</si>
  <si>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</si>
  <si>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</si>
  <si>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</si>
  <si>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</si>
  <si>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</si>
  <si>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</si>
  <si>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</si>
  <si>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</si>
  <si>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</si>
  <si>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</si>
  <si>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</si>
  <si>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</si>
  <si>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</si>
  <si>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</si>
  <si>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</si>
  <si>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</si>
  <si>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</si>
  <si>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</si>
  <si>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</si>
  <si>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</si>
  <si>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</si>
  <si>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</si>
  <si>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</si>
  <si>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</si>
  <si>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</si>
  <si>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</si>
  <si>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</si>
  <si>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</si>
  <si>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</si>
  <si>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</si>
  <si>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</si>
  <si>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</si>
  <si>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</si>
  <si>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</si>
  <si>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</si>
  <si>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</si>
  <si>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</si>
  <si>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</si>
  <si>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</si>
  <si>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</si>
  <si>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</si>
  <si>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</si>
  <si>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</si>
  <si>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</si>
  <si>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</si>
  <si>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</si>
  <si>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</si>
  <si>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</si>
  <si>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</si>
  <si>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</si>
  <si>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</si>
  <si>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</si>
  <si>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</si>
  <si>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</si>
  <si>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</si>
  <si>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</si>
  <si>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</si>
  <si>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</si>
  <si>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</si>
  <si>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</si>
  <si>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</si>
  <si>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</si>
  <si>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</si>
  <si>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</si>
  <si>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</si>
  <si>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</si>
  <si>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</si>
  <si>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</si>
  <si>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</si>
  <si>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</si>
  <si>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</si>
  <si>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</si>
  <si>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</si>
  <si>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</si>
  <si>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</si>
  <si>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</si>
  <si>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</si>
  <si>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</si>
  <si>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</si>
  <si>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</si>
  <si>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</si>
  <si>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</si>
  <si>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</si>
  <si>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</si>
  <si>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</si>
  <si>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</si>
  <si>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</si>
  <si>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</si>
  <si>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</si>
  <si>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</si>
  <si>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</si>
  <si>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</si>
  <si>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</si>
  <si>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</si>
  <si>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</si>
  <si>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</si>
  <si>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</si>
  <si>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</si>
  <si>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</si>
  <si>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</si>
  <si>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</si>
  <si>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</si>
  <si>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</si>
  <si>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</si>
  <si>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</si>
  <si>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</si>
  <si>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</si>
  <si>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</si>
  <si>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</si>
  <si>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</si>
  <si>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</si>
  <si>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</si>
  <si>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</si>
  <si>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</si>
  <si>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</si>
  <si>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</si>
  <si>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</si>
  <si>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</si>
  <si>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</si>
  <si>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</si>
  <si>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</si>
  <si>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</si>
  <si>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</si>
  <si>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</si>
  <si>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</si>
  <si>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</si>
  <si>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</si>
  <si>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</si>
  <si>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</si>
  <si>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</si>
  <si>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</si>
  <si>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</si>
  <si>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</si>
  <si>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</si>
  <si>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</si>
  <si>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</si>
  <si>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</si>
  <si>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</si>
  <si>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</si>
  <si>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</si>
  <si>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</si>
  <si>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</si>
  <si>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</si>
  <si>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</si>
  <si>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</si>
  <si>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</si>
  <si>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</si>
  <si>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</si>
  <si>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</si>
  <si>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</si>
  <si>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</si>
  <si>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</si>
  <si>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</si>
  <si>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</si>
  <si>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</si>
  <si>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</si>
  <si>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</si>
  <si>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</si>
  <si>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</si>
  <si>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</si>
  <si>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</si>
  <si>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</si>
  <si>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</si>
  <si>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</si>
  <si>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</si>
  <si>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</si>
  <si>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</si>
  <si>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</si>
  <si>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</si>
  <si>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</si>
  <si>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</si>
  <si>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</si>
  <si>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</si>
  <si>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</si>
  <si>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</si>
  <si>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</si>
  <si>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</si>
  <si>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</si>
  <si>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</si>
  <si>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</si>
  <si>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</si>
  <si>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</si>
  <si>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</si>
  <si>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</si>
  <si>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</si>
  <si>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</si>
  <si>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</si>
  <si>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</si>
  <si>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</si>
  <si>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</si>
  <si>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</si>
  <si>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</si>
  <si>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</si>
  <si>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</si>
  <si>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</si>
  <si>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</si>
  <si>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</si>
  <si>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</si>
  <si>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</si>
  <si>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</si>
  <si>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</si>
  <si>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</si>
  <si>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</si>
  <si>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</si>
  <si>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</si>
  <si>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</si>
  <si>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</si>
  <si>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</si>
  <si>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</si>
  <si>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</si>
  <si>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</si>
  <si>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</si>
  <si>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</si>
  <si>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</si>
  <si>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</si>
  <si>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</si>
  <si>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</si>
  <si>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</si>
  <si>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</si>
  <si>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</si>
  <si>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</si>
  <si>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</si>
  <si>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</si>
  <si>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</si>
  <si>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</si>
  <si>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</si>
  <si>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</si>
  <si>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</si>
  <si>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</si>
  <si>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</si>
  <si>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</si>
  <si>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</si>
  <si>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</si>
  <si>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</si>
  <si>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</si>
  <si>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</si>
  <si>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</si>
  <si>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</si>
  <si>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</si>
  <si>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</si>
  <si>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</si>
  <si>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</si>
  <si>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</si>
  <si>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</si>
  <si>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</si>
  <si>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</si>
  <si>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</si>
  <si>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</si>
  <si>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</si>
  <si>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</si>
  <si>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</si>
  <si>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</si>
  <si>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</si>
  <si>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</si>
  <si>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</si>
  <si>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</si>
  <si>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</si>
  <si>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</si>
  <si>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</si>
  <si>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</si>
  <si>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</si>
  <si>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</si>
  <si>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</si>
  <si>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</si>
  <si>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</si>
  <si>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</si>
  <si>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</si>
  <si>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</si>
  <si>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</si>
  <si>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</si>
  <si>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</si>
  <si>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</si>
  <si>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</si>
  <si>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</si>
  <si>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</si>
  <si>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</si>
  <si>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</si>
  <si>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</si>
  <si>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</si>
  <si>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</si>
  <si>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</si>
  <si>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</si>
  <si>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</si>
  <si>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</si>
  <si>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</si>
  <si>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</si>
  <si>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</si>
  <si>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</si>
  <si>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</si>
  <si>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</si>
  <si>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</si>
  <si>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</si>
  <si>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</si>
  <si>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</si>
  <si>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</si>
  <si>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</si>
  <si>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</si>
  <si>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</si>
  <si>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</si>
  <si>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</si>
  <si>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</si>
  <si>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</si>
  <si>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</si>
  <si>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</si>
  <si>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</si>
  <si>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</si>
  <si>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</si>
  <si>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</si>
  <si>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</si>
  <si>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</si>
  <si>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</si>
  <si>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</si>
  <si>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</si>
  <si>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</si>
  <si>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</si>
  <si>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</si>
  <si>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</si>
  <si>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</si>
  <si>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</si>
  <si>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</si>
  <si>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</si>
  <si>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</si>
  <si>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</si>
  <si>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</si>
  <si>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</si>
  <si>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</si>
  <si>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</si>
  <si>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</si>
  <si>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</si>
  <si>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</si>
  <si>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</si>
  <si>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</si>
  <si>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</si>
  <si>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</si>
  <si>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</si>
  <si>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</si>
  <si>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</si>
  <si>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</si>
  <si>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</si>
  <si>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</si>
  <si>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</si>
  <si>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</si>
  <si>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</si>
  <si>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</si>
  <si>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</si>
  <si>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</si>
  <si>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</si>
  <si>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</si>
  <si>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</si>
  <si>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</si>
  <si>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</si>
  <si>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</si>
  <si>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</si>
  <si>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</si>
  <si>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</si>
  <si>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</si>
  <si>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</si>
  <si>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</si>
  <si>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</si>
  <si>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</si>
  <si>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</si>
  <si>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</si>
  <si>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</si>
  <si>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</si>
  <si>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</si>
  <si>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</si>
  <si>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</si>
  <si>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</si>
  <si>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</si>
  <si>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</si>
  <si>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</si>
  <si>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</si>
  <si>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</si>
  <si>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</si>
  <si>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</si>
  <si>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</si>
  <si>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</si>
  <si>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</si>
  <si>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</si>
  <si>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</si>
  <si>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</si>
  <si>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</si>
  <si>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</si>
  <si>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</si>
  <si>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</si>
  <si>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</si>
  <si>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</si>
  <si>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</si>
  <si>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</si>
  <si>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</si>
  <si>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</si>
  <si>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</si>
  <si>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</si>
  <si>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</si>
  <si>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</si>
  <si>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</si>
  <si>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</si>
  <si>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</si>
  <si>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</si>
  <si>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</si>
  <si>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</si>
  <si>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</si>
  <si>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</si>
  <si>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</si>
  <si>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</si>
  <si>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</si>
  <si>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</si>
  <si>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</si>
  <si>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</si>
  <si>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</si>
  <si>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</si>
  <si>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</si>
  <si>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</si>
  <si>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</si>
  <si>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</si>
  <si>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</si>
  <si>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</si>
  <si>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</si>
  <si>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</si>
  <si>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</si>
  <si>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</si>
  <si>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</si>
  <si>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</si>
  <si>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</si>
  <si>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</si>
  <si>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</si>
  <si>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</si>
  <si>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</si>
  <si>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</si>
  <si>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</si>
  <si>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</si>
  <si>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</si>
  <si>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</si>
  <si>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</si>
  <si>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</si>
  <si>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</si>
  <si>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</si>
  <si>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</si>
  <si>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</si>
  <si>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</si>
  <si>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</si>
  <si>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</si>
  <si>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</si>
  <si>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</si>
  <si>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</si>
  <si>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</si>
  <si>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</si>
  <si>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</si>
  <si>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</si>
  <si>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</si>
  <si>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</si>
  <si>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</si>
  <si>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</si>
  <si>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</si>
  <si>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</si>
  <si>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</si>
  <si>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</si>
  <si>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</si>
  <si>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</si>
  <si>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</si>
  <si>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</si>
  <si>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</si>
  <si>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</si>
  <si>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</si>
  <si>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</si>
  <si>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</si>
  <si>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</si>
  <si>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</si>
  <si>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</si>
  <si>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</si>
  <si>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</si>
  <si>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</si>
  <si>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</si>
  <si>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</si>
  <si>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</si>
  <si>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</si>
  <si>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</si>
  <si>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</si>
  <si>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</si>
  <si>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</si>
  <si>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</si>
  <si>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</si>
  <si>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</si>
  <si>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</si>
  <si>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</si>
  <si>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</si>
  <si>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</si>
  <si>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</si>
  <si>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</si>
  <si>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</si>
  <si>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</si>
  <si>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</si>
  <si>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</si>
  <si>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</si>
  <si>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</si>
  <si>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</si>
  <si>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</si>
  <si>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</si>
  <si>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</si>
  <si>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</si>
  <si>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</si>
  <si>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</si>
  <si>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</si>
  <si>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</si>
  <si>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</si>
  <si>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</si>
  <si>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</si>
  <si>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</si>
  <si>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</si>
  <si>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</si>
  <si>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</si>
  <si>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</si>
  <si>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</si>
  <si>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</si>
  <si>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</si>
  <si>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</si>
  <si>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</si>
  <si>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</si>
  <si>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</si>
  <si>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</si>
  <si>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</si>
  <si>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</si>
  <si>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</si>
  <si>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</si>
  <si>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</si>
  <si>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</si>
  <si>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</si>
  <si>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</si>
  <si>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</si>
  <si>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</si>
  <si>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</si>
  <si>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</si>
  <si>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</si>
  <si>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</si>
  <si>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</si>
  <si>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</si>
  <si>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</si>
  <si>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</si>
  <si>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</si>
  <si>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</si>
  <si>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</si>
  <si>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</si>
  <si>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</si>
  <si>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</si>
  <si>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</si>
  <si>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</si>
  <si>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</si>
  <si>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</si>
  <si>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</si>
  <si>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</si>
  <si>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</si>
  <si>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</si>
  <si>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</si>
  <si>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</si>
  <si>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</si>
  <si>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</si>
  <si>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</si>
  <si>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</si>
  <si>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</si>
  <si>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</si>
  <si>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</si>
  <si>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</si>
  <si>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</si>
  <si>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</si>
  <si>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</si>
  <si>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</si>
  <si>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</si>
  <si>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</si>
  <si>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</si>
  <si>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</si>
  <si>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</si>
  <si>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</si>
  <si>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</si>
  <si>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</si>
  <si>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</si>
  <si>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</si>
  <si>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</si>
  <si>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</si>
  <si>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</si>
  <si>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</si>
  <si>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</si>
  <si>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</si>
  <si>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</si>
  <si>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</si>
  <si>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</si>
  <si>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</si>
  <si>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</si>
  <si>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</si>
  <si>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</si>
  <si>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</si>
  <si>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</si>
  <si>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</si>
  <si>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</si>
  <si>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</si>
  <si>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</si>
  <si>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</si>
  <si>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</si>
  <si>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</si>
  <si>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</si>
  <si>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</si>
  <si>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</si>
  <si>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</si>
  <si>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</si>
  <si>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</si>
  <si>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</si>
  <si>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</si>
  <si>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</si>
  <si>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</si>
  <si>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</si>
  <si>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</si>
  <si>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</si>
  <si>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</si>
  <si>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</si>
  <si>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</si>
  <si>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</si>
  <si>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</si>
  <si>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</si>
  <si>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</si>
  <si>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</si>
  <si>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</si>
  <si>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</si>
  <si>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</si>
  <si>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</si>
  <si>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</si>
  <si>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</si>
  <si>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</si>
  <si>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</si>
  <si>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</si>
  <si>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</si>
  <si>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</si>
  <si>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</si>
  <si>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</si>
  <si>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</si>
  <si>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</si>
  <si>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</si>
  <si>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</si>
  <si>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</si>
  <si>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</si>
  <si>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</si>
  <si>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</si>
  <si>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</si>
  <si>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</si>
  <si>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</si>
  <si>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</si>
  <si>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</si>
  <si>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</si>
  <si>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</si>
  <si>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</si>
  <si>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</si>
  <si>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</si>
  <si>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</si>
  <si>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</si>
  <si>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</si>
  <si>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</si>
  <si>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</si>
  <si>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</si>
  <si>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</si>
  <si>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</si>
  <si>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</si>
  <si>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</si>
  <si>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</si>
  <si>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</si>
  <si>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</si>
  <si>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</si>
  <si>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</si>
  <si>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</si>
  <si>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</si>
  <si>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</si>
  <si>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</si>
  <si>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</si>
  <si>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</si>
  <si>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</si>
  <si>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</si>
  <si>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</si>
  <si>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</si>
  <si>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</si>
  <si>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</si>
  <si>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</si>
  <si>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</si>
  <si>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</si>
  <si>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</si>
  <si>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</si>
  <si>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</si>
  <si>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</si>
  <si>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</si>
  <si>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</si>
  <si>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</si>
  <si>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</si>
  <si>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</si>
  <si>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</si>
  <si>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</si>
  <si>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</si>
  <si>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</si>
  <si>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</si>
  <si>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</si>
  <si>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</si>
  <si>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</si>
  <si>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</si>
  <si>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</si>
  <si>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</si>
  <si>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</si>
  <si>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</si>
  <si>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</si>
  <si>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</si>
  <si>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</si>
  <si>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</si>
  <si>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</si>
  <si>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</si>
  <si>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</si>
  <si>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</si>
  <si>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</si>
  <si>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</si>
  <si>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</si>
  <si>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</si>
  <si>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</si>
  <si>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</si>
  <si>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</si>
  <si>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</si>
  <si>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</si>
  <si>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</si>
  <si>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</si>
  <si>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</si>
  <si>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</si>
  <si>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</si>
  <si>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</si>
  <si>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</si>
  <si>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</si>
  <si>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</si>
  <si>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</si>
  <si>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</si>
  <si>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</si>
  <si>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</si>
  <si>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</si>
  <si>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</si>
  <si>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</si>
  <si>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</si>
  <si>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</si>
  <si>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</si>
  <si>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</si>
  <si>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</si>
  <si>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</si>
  <si>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</si>
  <si>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</si>
  <si>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</si>
  <si>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</si>
  <si>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</si>
  <si>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</si>
  <si>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</si>
  <si>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</si>
  <si>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</si>
  <si>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</si>
  <si>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</si>
  <si>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</si>
  <si>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</si>
  <si>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</si>
  <si>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</si>
  <si>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</si>
  <si>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</si>
  <si>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</si>
  <si>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</si>
  <si>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</si>
  <si>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</si>
  <si>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</si>
  <si>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</si>
  <si>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</si>
  <si>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</si>
  <si>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</si>
  <si>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</si>
  <si>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</si>
  <si>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</si>
  <si>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</si>
  <si>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</si>
  <si>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</si>
  <si>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</si>
  <si>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</si>
  <si>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</si>
  <si>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</si>
  <si>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</si>
  <si>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</si>
  <si>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</si>
  <si>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</si>
  <si>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</si>
  <si>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</si>
  <si>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</si>
  <si>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</si>
  <si>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</si>
  <si>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</si>
  <si>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</si>
  <si>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</si>
  <si>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</si>
  <si>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</si>
  <si>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</si>
  <si>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</si>
  <si>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</si>
  <si>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</si>
  <si>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</si>
  <si>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</si>
  <si>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</si>
  <si>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</si>
  <si>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</si>
  <si>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</si>
  <si>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</si>
  <si>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</si>
  <si>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</si>
  <si>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</si>
  <si>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</si>
  <si>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</si>
  <si>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</si>
  <si>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</si>
  <si>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</si>
  <si>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</si>
  <si>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</si>
  <si>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</si>
  <si>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</si>
  <si>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</si>
  <si>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</si>
  <si>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</si>
  <si>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</si>
  <si>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</si>
  <si>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</si>
  <si>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</si>
  <si>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</si>
  <si>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</si>
  <si>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</si>
  <si>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</si>
  <si>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</si>
  <si>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</si>
  <si>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</si>
  <si>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</si>
  <si>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</si>
  <si>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</si>
  <si>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</si>
  <si>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</si>
  <si>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</si>
  <si>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</si>
  <si>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</si>
  <si>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</si>
  <si>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</si>
  <si>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</si>
  <si>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</si>
  <si>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</si>
  <si>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</si>
  <si>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</si>
  <si>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</si>
  <si>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</si>
  <si>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</si>
  <si>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</si>
  <si>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</si>
  <si>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</si>
  <si>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</si>
  <si>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</si>
  <si>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</si>
  <si>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</si>
  <si>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</si>
  <si>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</si>
  <si>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</si>
  <si>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</si>
  <si>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</si>
  <si>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</si>
  <si>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</si>
  <si>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</si>
  <si>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</si>
  <si>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</si>
  <si>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</si>
  <si>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</si>
  <si>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</si>
  <si>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</si>
  <si>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</si>
  <si>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</si>
  <si>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</si>
  <si>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</si>
  <si>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</si>
  <si>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</si>
  <si>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</si>
  <si>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</si>
  <si>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</si>
  <si>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</si>
  <si>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</si>
  <si>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</si>
  <si>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</si>
  <si>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</si>
  <si>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</si>
  <si>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</si>
  <si>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</si>
  <si>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</si>
  <si>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</si>
  <si>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</si>
  <si>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</si>
  <si>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</si>
  <si>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</si>
  <si>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</si>
  <si>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</si>
  <si>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</si>
  <si>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</si>
  <si>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</si>
  <si>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</si>
  <si>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</si>
  <si>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</si>
  <si>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</si>
  <si>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</si>
  <si>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</si>
  <si>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</si>
  <si>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</si>
  <si>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</si>
  <si>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</si>
  <si>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</si>
  <si>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</si>
  <si>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</si>
  <si>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</si>
  <si>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</si>
  <si>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</si>
  <si>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</si>
  <si>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</si>
  <si>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</si>
  <si>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</si>
  <si>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</si>
  <si>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</si>
  <si>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</si>
  <si>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</si>
  <si>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</si>
  <si>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</si>
  <si>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</si>
  <si>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</si>
  <si>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</si>
  <si>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</si>
  <si>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</si>
  <si>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</si>
  <si>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</si>
  <si>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</si>
  <si>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</si>
  <si>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</si>
  <si>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</si>
  <si>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</si>
  <si>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</si>
  <si>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</si>
  <si>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</si>
  <si>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</si>
  <si>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</si>
  <si>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</si>
  <si>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</si>
  <si>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</si>
  <si>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</si>
  <si>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</si>
  <si>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</si>
  <si>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</si>
  <si>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</si>
  <si>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</si>
  <si>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</si>
  <si>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</si>
  <si>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</si>
  <si>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</si>
  <si>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</si>
  <si>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</si>
  <si>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</si>
  <si>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</si>
  <si>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</si>
  <si>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</si>
  <si>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</si>
  <si>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</si>
  <si>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</si>
  <si>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</si>
  <si>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</si>
  <si>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</si>
  <si>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</si>
  <si>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</si>
  <si>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</si>
  <si>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</si>
  <si>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</si>
  <si>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</si>
  <si>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</si>
  <si>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</si>
  <si>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</si>
  <si>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</si>
  <si>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</si>
  <si>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</si>
  <si>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</si>
  <si>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</si>
  <si>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</si>
  <si>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</si>
  <si>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</si>
  <si>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</si>
  <si>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</si>
  <si>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</si>
  <si>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</si>
  <si>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</si>
  <si>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</si>
  <si>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</si>
  <si>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</si>
  <si>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</si>
  <si>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</si>
  <si>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</si>
  <si>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</si>
  <si>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</si>
  <si>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</si>
  <si>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</si>
  <si>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</si>
  <si>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</si>
  <si>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</si>
  <si>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</si>
  <si>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</si>
  <si>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</si>
  <si>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</si>
  <si>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</si>
  <si>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</si>
  <si>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</si>
  <si>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</si>
  <si>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</si>
  <si>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</si>
  <si>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</si>
  <si>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</si>
  <si>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</si>
  <si>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</si>
  <si>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</si>
  <si>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</si>
  <si>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</si>
  <si>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</si>
  <si>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</si>
  <si>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</si>
  <si>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</si>
  <si>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</si>
  <si>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</si>
  <si>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</si>
  <si>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</si>
  <si>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</si>
  <si>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</si>
  <si>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</si>
  <si>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</si>
  <si>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</si>
  <si>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</si>
  <si>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</si>
  <si>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</si>
  <si>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</si>
  <si>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</si>
  <si>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</si>
  <si>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</si>
  <si>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</si>
  <si>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</si>
  <si>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</si>
  <si>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</si>
  <si>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</si>
  <si>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</si>
  <si>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</si>
  <si>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</si>
  <si>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</si>
  <si>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</si>
  <si>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</si>
  <si>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</si>
  <si>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</si>
  <si>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</si>
  <si>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</si>
  <si>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</si>
  <si>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</si>
  <si>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</si>
  <si>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</si>
  <si>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</si>
  <si>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</si>
  <si>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</si>
  <si>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</si>
  <si>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</si>
  <si>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</si>
  <si>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</si>
  <si>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</si>
  <si>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</si>
  <si>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</si>
  <si>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</si>
  <si>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</si>
  <si>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</si>
  <si>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</si>
  <si>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</si>
  <si>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</si>
  <si>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</si>
  <si>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</si>
  <si>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</si>
  <si>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</si>
  <si>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</si>
  <si>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</si>
  <si>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</si>
  <si>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</si>
  <si>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</si>
  <si>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</si>
  <si>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</si>
  <si>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</si>
  <si>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</si>
  <si>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</si>
  <si>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</si>
  <si>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</si>
  <si>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</si>
  <si>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</si>
  <si>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</si>
  <si>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</si>
  <si>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</si>
  <si>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</si>
  <si>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</si>
  <si>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</si>
  <si>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</si>
  <si>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</si>
  <si>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</si>
  <si>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</si>
  <si>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</si>
  <si>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</si>
  <si>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</si>
  <si>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</si>
  <si>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</si>
  <si>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</si>
  <si>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</si>
  <si>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</si>
  <si>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</si>
  <si>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</si>
  <si>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</si>
  <si>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</si>
  <si>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</si>
  <si>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</si>
  <si>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</si>
  <si>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</si>
  <si>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</si>
  <si>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</si>
  <si>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</si>
  <si>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</si>
  <si>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</si>
  <si>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</si>
  <si>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</si>
  <si>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</si>
  <si>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</si>
  <si>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</si>
  <si>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</si>
  <si>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</si>
  <si>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</si>
  <si>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</si>
  <si>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</si>
  <si>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</si>
  <si>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</si>
  <si>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</si>
  <si>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</si>
  <si>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</si>
  <si>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</si>
  <si>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</si>
  <si>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</si>
  <si>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</si>
  <si>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</si>
  <si>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</si>
  <si>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</si>
  <si>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</si>
  <si>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</si>
  <si>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</si>
  <si>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</si>
  <si>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</si>
  <si>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</si>
  <si>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</si>
  <si>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</si>
  <si>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</si>
  <si>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</si>
  <si>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</si>
  <si>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</si>
  <si>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</si>
  <si>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</si>
  <si>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</si>
  <si>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</si>
  <si>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</si>
  <si>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</si>
  <si>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</si>
  <si>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</si>
  <si>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</si>
  <si>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</si>
  <si>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</si>
  <si>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</si>
  <si>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</si>
  <si>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</si>
  <si>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</si>
  <si>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</si>
  <si>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</si>
  <si>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</si>
  <si>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</si>
  <si>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</si>
  <si>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</si>
  <si>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</si>
  <si>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</si>
  <si>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</si>
  <si>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</si>
  <si>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</si>
  <si>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</si>
  <si>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</si>
  <si>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</si>
  <si>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</si>
  <si>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</si>
  <si>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</si>
  <si>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</si>
  <si>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</si>
  <si>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</si>
  <si>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</si>
  <si>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</si>
  <si>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</si>
  <si>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</si>
  <si>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</si>
  <si>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</si>
  <si>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</si>
  <si>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</si>
  <si>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</si>
  <si>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</si>
  <si>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</si>
  <si>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</si>
  <si>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</si>
  <si>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</si>
  <si>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</si>
  <si>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</si>
  <si>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</si>
  <si>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</si>
  <si>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</si>
  <si>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</si>
  <si>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</si>
  <si>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</si>
  <si>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</si>
  <si>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</si>
  <si>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</si>
  <si>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</si>
  <si>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</si>
  <si>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</si>
  <si>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</si>
  <si>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</si>
  <si>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</si>
  <si>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</si>
  <si>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</si>
  <si>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</si>
  <si>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</si>
  <si>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</si>
  <si>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</si>
  <si>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</si>
  <si>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</si>
  <si>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</si>
  <si>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</si>
  <si>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</si>
  <si>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</si>
  <si>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</si>
  <si>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</si>
  <si>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</si>
  <si>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</si>
  <si>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</si>
  <si>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</si>
  <si>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</si>
  <si>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</si>
  <si>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</si>
  <si>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</si>
  <si>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</si>
  <si>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</si>
  <si>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</si>
  <si>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</si>
  <si>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</si>
  <si>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</si>
  <si>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</si>
  <si>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</si>
  <si>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</si>
  <si>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</si>
  <si>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</si>
  <si>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</si>
  <si>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</si>
  <si>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</si>
  <si>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</si>
  <si>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</si>
  <si>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</si>
  <si>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</si>
  <si>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</si>
  <si>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</si>
  <si>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</si>
  <si>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</si>
  <si>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</si>
  <si>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</si>
  <si>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</si>
  <si>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</si>
  <si>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</si>
  <si>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</si>
  <si>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</si>
  <si>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</si>
  <si>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</si>
  <si>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</si>
  <si>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</si>
  <si>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</si>
  <si>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</si>
  <si>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</si>
  <si>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</si>
  <si>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</si>
  <si>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</si>
  <si>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</si>
  <si>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</si>
  <si>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</si>
  <si>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</si>
  <si>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</si>
  <si>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</si>
  <si>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</si>
  <si>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</si>
  <si>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</si>
  <si>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</si>
  <si>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</si>
  <si>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</si>
  <si>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</si>
  <si>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</si>
  <si>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</si>
  <si>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</si>
  <si>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</si>
  <si>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</si>
  <si>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</si>
  <si>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</si>
  <si>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</si>
  <si>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</si>
  <si>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</si>
  <si>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</si>
  <si>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</si>
  <si>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</si>
  <si>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</si>
  <si>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</si>
  <si>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</si>
  <si>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</si>
  <si>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</si>
  <si>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</si>
  <si>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</si>
  <si>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</si>
  <si>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</si>
  <si>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</si>
  <si>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</si>
  <si>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</si>
  <si>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</si>
  <si>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</si>
  <si>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</si>
  <si>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</si>
  <si>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</si>
  <si>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</si>
  <si>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</si>
  <si>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</si>
  <si>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</si>
  <si>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</si>
  <si>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</si>
  <si>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</si>
  <si>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</si>
  <si>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</si>
  <si>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</si>
  <si>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</si>
  <si>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</si>
  <si>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</si>
  <si>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</si>
  <si>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</si>
  <si>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</si>
  <si>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</si>
  <si>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</si>
  <si>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</si>
  <si>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</si>
  <si>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</si>
  <si>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</si>
  <si>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</si>
  <si>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</si>
  <si>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</si>
  <si>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</si>
  <si>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</si>
  <si>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</si>
  <si>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</si>
  <si>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</si>
  <si>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</si>
  <si>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</si>
  <si>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</si>
  <si>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</si>
  <si>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</si>
  <si>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</si>
  <si>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</si>
  <si>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</si>
  <si>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</si>
  <si>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</si>
  <si>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</si>
  <si>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</si>
  <si>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</si>
  <si>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</si>
  <si>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</si>
  <si>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</si>
  <si>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</si>
  <si>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</si>
  <si>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</si>
  <si>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</si>
  <si>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</si>
  <si>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</si>
  <si>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</si>
  <si>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</si>
  <si>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</si>
  <si>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</si>
  <si>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</si>
  <si>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</si>
  <si>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</si>
  <si>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</si>
  <si>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</si>
  <si>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</si>
  <si>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</si>
  <si>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</si>
  <si>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</si>
  <si>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</si>
  <si>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</si>
  <si>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</si>
  <si>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</si>
  <si>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</si>
  <si>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</si>
  <si>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</si>
  <si>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</si>
  <si>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</si>
  <si>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</si>
  <si>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</si>
  <si>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</si>
  <si>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</si>
  <si>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</si>
  <si>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</si>
  <si>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</si>
  <si>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</si>
  <si>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</si>
  <si>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</si>
  <si>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</si>
  <si>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</si>
  <si>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</si>
  <si>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</si>
  <si>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</si>
  <si>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</si>
  <si>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</si>
  <si>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</si>
  <si>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</si>
  <si>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</si>
  <si>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</si>
  <si>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</si>
  <si>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</si>
  <si>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</si>
  <si>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</si>
  <si>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</si>
  <si>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</si>
  <si>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</si>
  <si>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</si>
  <si>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</si>
  <si>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</si>
  <si>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</si>
  <si>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</si>
  <si>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</si>
  <si>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</si>
  <si>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</si>
  <si>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</si>
  <si>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</si>
  <si>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</si>
  <si>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</si>
  <si>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</si>
  <si>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</si>
  <si>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</si>
  <si>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</si>
  <si>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</si>
  <si>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</si>
  <si>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</si>
  <si>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</si>
  <si>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</si>
  <si>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</si>
  <si>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</si>
  <si>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</si>
  <si>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</si>
  <si>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</si>
  <si>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</si>
  <si>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</si>
  <si>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</si>
  <si>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</si>
  <si>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</si>
  <si>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</si>
  <si>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</si>
  <si>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</si>
  <si>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</si>
  <si>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</si>
  <si>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</si>
  <si>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</si>
  <si>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</si>
  <si>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</si>
  <si>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</si>
  <si>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</si>
  <si>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</si>
  <si>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</si>
  <si>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</si>
  <si>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</si>
  <si>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</si>
  <si>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</si>
  <si>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</si>
  <si>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</si>
  <si>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</si>
  <si>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</si>
  <si>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</si>
  <si>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</si>
  <si>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</si>
  <si>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</si>
  <si>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</si>
  <si>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</si>
  <si>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</si>
  <si>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</si>
  <si>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</si>
  <si>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</si>
  <si>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</si>
  <si>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</si>
  <si>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</si>
  <si>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</si>
  <si>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</si>
  <si>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</si>
  <si>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</si>
  <si>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</si>
  <si>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</si>
  <si>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</si>
  <si>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</si>
  <si>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</si>
  <si>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</si>
  <si>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</si>
  <si>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</si>
  <si>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</si>
  <si>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</si>
  <si>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</si>
  <si>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</si>
  <si>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</si>
  <si>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</si>
  <si>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</si>
  <si>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</si>
  <si>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</si>
  <si>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</si>
  <si>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</si>
  <si>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</si>
  <si>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</si>
  <si>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</si>
  <si>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</si>
  <si>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</si>
  <si>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</si>
  <si>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</si>
  <si>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</si>
  <si>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</si>
  <si>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</si>
  <si>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</si>
  <si>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</si>
  <si>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</si>
  <si>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</si>
  <si>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</si>
  <si>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</si>
  <si>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</si>
  <si>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</si>
  <si>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</si>
  <si>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</si>
  <si>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</si>
  <si>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</si>
  <si>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</si>
  <si>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</si>
  <si>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</si>
  <si>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</si>
  <si>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</si>
  <si>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</si>
  <si>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</si>
  <si>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</si>
  <si>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</si>
  <si>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</si>
  <si>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</si>
  <si>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</si>
  <si>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</si>
  <si>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</si>
  <si>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</si>
  <si>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</si>
  <si>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</si>
  <si>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</si>
  <si>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</si>
  <si>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</si>
  <si>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</si>
  <si>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</si>
  <si>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</si>
  <si>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</si>
  <si>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</si>
  <si>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</si>
  <si>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</si>
  <si>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</si>
  <si>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</si>
  <si>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</si>
  <si>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</si>
  <si>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</si>
  <si>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</si>
  <si>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</si>
  <si>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</si>
  <si>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</si>
  <si>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</si>
  <si>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</si>
  <si>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</si>
  <si>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</si>
  <si>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</si>
  <si>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</si>
  <si>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</si>
  <si>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</si>
  <si>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</si>
  <si>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</si>
  <si>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</si>
  <si>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</si>
  <si>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</si>
  <si>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</si>
  <si>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</si>
  <si>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</si>
  <si>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</si>
  <si>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</si>
  <si>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</si>
  <si>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</si>
  <si>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</si>
  <si>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</si>
  <si>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</si>
  <si>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</si>
  <si>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</si>
  <si>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</si>
  <si>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</si>
  <si>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</si>
  <si>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</si>
  <si>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</si>
  <si>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</si>
  <si>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</si>
  <si>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</si>
  <si>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</si>
  <si>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</si>
  <si>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</si>
  <si>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</si>
  <si>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</si>
  <si>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</si>
  <si>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</si>
  <si>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</si>
  <si>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</si>
  <si>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</si>
  <si>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</si>
  <si>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</si>
  <si>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</si>
  <si>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</si>
  <si>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</si>
  <si>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</si>
  <si>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</si>
  <si>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</si>
  <si>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</si>
  <si>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</si>
  <si>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</si>
  <si>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</si>
  <si>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</si>
  <si>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</si>
  <si>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</si>
  <si>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</si>
  <si>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</si>
  <si>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</si>
  <si>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</si>
  <si>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</si>
  <si>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</si>
  <si>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</si>
  <si>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</si>
  <si>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</si>
  <si>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</si>
  <si>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</si>
  <si>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</si>
  <si>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</si>
  <si>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</si>
  <si>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</si>
  <si>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</si>
  <si>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</si>
  <si>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</si>
  <si>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</si>
  <si>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</si>
  <si>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</si>
  <si>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</si>
  <si>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</si>
  <si>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</si>
  <si>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</si>
  <si>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</si>
  <si>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</si>
  <si>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</si>
  <si>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</si>
  <si>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</si>
  <si>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</si>
  <si>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</si>
  <si>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</si>
  <si>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</si>
  <si>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</si>
  <si>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</si>
  <si>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</si>
  <si>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</si>
  <si>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</si>
  <si>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</si>
  <si>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</si>
  <si>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</si>
  <si>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</si>
  <si>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</si>
  <si>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</si>
  <si>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</si>
  <si>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</si>
  <si>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</si>
  <si>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</si>
  <si>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</si>
  <si>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</si>
  <si>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</si>
  <si>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</si>
  <si>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</si>
  <si>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</si>
  <si>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</si>
  <si>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</si>
  <si>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</si>
  <si>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</si>
  <si>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</si>
  <si>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</si>
  <si>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</si>
  <si>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</si>
  <si>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</si>
  <si>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</si>
  <si>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</si>
  <si>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</si>
  <si>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</si>
  <si>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</si>
  <si>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</si>
  <si>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</si>
  <si>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</si>
  <si>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</si>
  <si>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</si>
  <si>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</si>
  <si>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</si>
  <si>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</si>
  <si>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</si>
  <si>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</si>
  <si>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</si>
  <si>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</si>
  <si>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</si>
  <si>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</si>
  <si>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</si>
  <si>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</si>
  <si>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</si>
  <si>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</si>
  <si>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</si>
  <si>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</si>
  <si>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</si>
  <si>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</si>
  <si>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</si>
  <si>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</si>
  <si>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</si>
  <si>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</si>
  <si>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</si>
  <si>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</si>
  <si>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</si>
  <si>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</si>
  <si>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</si>
  <si>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</si>
  <si>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</si>
  <si>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</si>
  <si>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</si>
  <si>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</si>
  <si>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</si>
  <si>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</si>
  <si>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</si>
  <si>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</si>
  <si>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</si>
  <si>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</si>
  <si>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</si>
  <si>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</si>
  <si>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</si>
  <si>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</si>
  <si>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</si>
  <si>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</si>
  <si>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</si>
  <si>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</si>
  <si>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</si>
  <si>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</si>
  <si>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</si>
  <si>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</si>
  <si>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</si>
  <si>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</si>
  <si>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</si>
  <si>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</si>
  <si>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</si>
  <si>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</si>
  <si>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</si>
  <si>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</si>
  <si>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</si>
  <si>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</si>
  <si>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</si>
  <si>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</si>
  <si>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</si>
  <si>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</si>
  <si>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</si>
  <si>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</si>
  <si>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</si>
  <si>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</si>
  <si>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</si>
  <si>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</si>
  <si>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</si>
  <si>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</si>
  <si>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</si>
  <si>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</si>
  <si>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</si>
  <si>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</si>
  <si>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</si>
  <si>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</si>
  <si>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</si>
  <si>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</si>
  <si>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</si>
  <si>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</si>
  <si>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</si>
  <si>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</si>
  <si>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</si>
  <si>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</si>
  <si>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</si>
  <si>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</si>
  <si>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</si>
  <si>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</si>
  <si>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</si>
  <si>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</si>
  <si>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</si>
  <si>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</si>
  <si>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</si>
  <si>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</si>
  <si>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</si>
  <si>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</si>
  <si>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</si>
  <si>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</si>
  <si>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</si>
  <si>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</si>
  <si>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</si>
  <si>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</si>
  <si>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</si>
  <si>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</si>
  <si>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</si>
  <si>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</si>
  <si>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</si>
  <si>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</si>
  <si>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</si>
  <si>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</si>
  <si>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</si>
  <si>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</si>
  <si>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</si>
  <si>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</si>
  <si>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</si>
  <si>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</si>
  <si>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</si>
  <si>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</si>
  <si>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</si>
  <si>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</si>
  <si>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</si>
  <si>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</si>
  <si>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</si>
  <si>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</si>
  <si>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</si>
  <si>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</si>
  <si>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</si>
  <si>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</si>
  <si>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</si>
  <si>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</si>
  <si>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</si>
  <si>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</si>
  <si>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</si>
  <si>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</si>
  <si>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</si>
  <si>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</si>
  <si>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</si>
  <si>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</si>
  <si>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</si>
  <si>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</si>
  <si>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</si>
  <si>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</si>
  <si>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</si>
  <si>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</si>
  <si>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</si>
  <si>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</si>
  <si>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</si>
  <si>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</si>
  <si>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</si>
  <si>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</si>
  <si>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</si>
  <si>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</si>
  <si>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</si>
  <si>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</si>
  <si>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</si>
  <si>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</si>
  <si>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</si>
  <si>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</si>
  <si>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</si>
  <si>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</si>
  <si>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</si>
  <si>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</si>
  <si>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</si>
  <si>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</si>
  <si>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</si>
  <si>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</si>
  <si>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</si>
  <si>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</si>
  <si>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</si>
  <si>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</si>
  <si>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</si>
  <si>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</si>
  <si>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</si>
  <si>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</si>
  <si>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</si>
  <si>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</si>
  <si>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</si>
  <si>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</si>
  <si>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</si>
  <si>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</si>
  <si>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</si>
  <si>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</si>
  <si>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</si>
  <si>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</si>
  <si>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</si>
  <si>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</si>
  <si>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</si>
  <si>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</si>
  <si>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</si>
  <si>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</si>
  <si>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</si>
  <si>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</si>
  <si>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</si>
  <si>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</si>
  <si>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</si>
  <si>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</si>
  <si>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</si>
  <si>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</si>
  <si>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</si>
  <si>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</si>
  <si>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</si>
  <si>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</si>
  <si>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</si>
  <si>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</si>
  <si>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</si>
  <si>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</si>
  <si>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</si>
  <si>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</si>
  <si>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</si>
  <si>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</si>
  <si>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</si>
  <si>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</si>
  <si>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</si>
  <si>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</si>
  <si>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</si>
  <si>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</si>
  <si>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</si>
  <si>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</si>
  <si>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</si>
  <si>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</si>
  <si>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</si>
  <si>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</si>
  <si>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</si>
  <si>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</si>
  <si>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</si>
  <si>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</si>
  <si>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</si>
  <si>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</si>
  <si>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</si>
  <si>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</si>
  <si>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</si>
  <si>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</si>
  <si>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</si>
  <si>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</si>
  <si>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</si>
  <si>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</si>
  <si>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</si>
  <si>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</si>
  <si>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</si>
  <si>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</si>
  <si>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</si>
  <si>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</si>
  <si>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</si>
  <si>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</si>
  <si>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</si>
  <si>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</si>
  <si>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</si>
  <si>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</si>
  <si>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</si>
  <si>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</si>
  <si>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</si>
  <si>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</si>
  <si>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</si>
  <si>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</si>
  <si>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</si>
  <si>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</si>
  <si>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</si>
  <si>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</si>
  <si>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</si>
  <si>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</si>
  <si>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</si>
  <si>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</si>
  <si>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</si>
  <si>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</si>
  <si>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</si>
  <si>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</si>
  <si>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</si>
  <si>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</si>
  <si>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</si>
  <si>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</si>
  <si>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</si>
  <si>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</si>
  <si>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</si>
  <si>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</si>
  <si>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</si>
  <si>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</si>
  <si>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</si>
  <si>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</si>
  <si>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</si>
  <si>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</si>
  <si>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</si>
  <si>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</si>
  <si>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</si>
  <si>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</si>
  <si>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</si>
  <si>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</si>
  <si>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</si>
  <si>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</si>
  <si>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</si>
  <si>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</si>
  <si>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</si>
  <si>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</si>
  <si>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</si>
  <si>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</si>
  <si>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</si>
  <si>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</si>
  <si>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</si>
  <si>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</si>
  <si>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</si>
  <si>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</si>
  <si>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</si>
  <si>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</si>
  <si>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</si>
  <si>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</si>
  <si>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</si>
  <si>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</si>
  <si>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</si>
  <si>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</si>
  <si>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</si>
  <si>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</si>
  <si>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</si>
  <si>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</si>
  <si>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</si>
  <si>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</si>
  <si>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</si>
  <si>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</si>
  <si>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</si>
  <si>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</si>
  <si>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</si>
  <si>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</si>
  <si>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</si>
  <si>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</si>
  <si>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</si>
  <si>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</si>
  <si>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</si>
  <si>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</si>
  <si>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</si>
  <si>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</si>
  <si>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</si>
  <si>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</si>
  <si>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</si>
  <si>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</si>
  <si>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</si>
  <si>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</si>
  <si>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</si>
  <si>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</si>
  <si>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</si>
  <si>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</si>
  <si>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</si>
  <si>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</si>
  <si>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</si>
  <si>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</si>
  <si>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</si>
  <si>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</si>
  <si>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</si>
  <si>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</si>
  <si>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</si>
  <si>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</si>
  <si>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</si>
  <si>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</si>
  <si>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</si>
  <si>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</si>
  <si>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</si>
  <si>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</si>
  <si>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</si>
  <si>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</si>
  <si>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</si>
  <si>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</si>
  <si>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</si>
  <si>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</si>
  <si>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</si>
  <si>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</si>
  <si>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</si>
  <si>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</si>
  <si>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</si>
  <si>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</si>
  <si>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</si>
  <si>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</si>
  <si>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</si>
  <si>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</si>
  <si>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</si>
  <si>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</si>
  <si>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</si>
  <si>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</si>
  <si>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</si>
  <si>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</si>
  <si>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</si>
  <si>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</si>
  <si>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</si>
  <si>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</si>
  <si>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</si>
  <si>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</si>
  <si>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</si>
  <si>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</si>
  <si>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</si>
  <si>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</si>
  <si>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</si>
  <si>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</si>
  <si>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</si>
  <si>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</si>
  <si>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</si>
  <si>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</si>
  <si>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</si>
  <si>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</si>
  <si>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</si>
  <si>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</si>
  <si>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</si>
  <si>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</si>
  <si>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</si>
  <si>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</si>
  <si>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</si>
  <si>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</si>
  <si>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</si>
  <si>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</si>
  <si>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</si>
  <si>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</si>
  <si>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</si>
  <si>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</si>
  <si>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</si>
  <si>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</si>
  <si>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</si>
  <si>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</si>
  <si>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</si>
  <si>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</si>
  <si>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</si>
  <si>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</si>
  <si>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</si>
  <si>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</si>
  <si>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</si>
  <si>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</si>
  <si>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</si>
  <si>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</si>
  <si>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</si>
  <si>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</si>
  <si>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</si>
  <si>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</si>
  <si>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</si>
  <si>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</si>
  <si>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</si>
  <si>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</si>
  <si>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</si>
  <si>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</si>
  <si>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</si>
  <si>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</si>
  <si>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</si>
  <si>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</si>
  <si>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</si>
  <si>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</si>
  <si>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</si>
  <si>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</si>
  <si>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</si>
  <si>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</si>
  <si>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</si>
  <si>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</si>
  <si>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</si>
  <si>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</si>
  <si>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</si>
  <si>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</si>
  <si>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</si>
  <si>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</si>
  <si>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</si>
  <si>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</si>
  <si>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</si>
  <si>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</si>
  <si>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</si>
  <si>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</si>
  <si>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</si>
  <si>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</si>
  <si>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</si>
  <si>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</si>
  <si>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</si>
  <si>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</si>
  <si>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</si>
  <si>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</si>
  <si>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</si>
  <si>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</si>
  <si>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</si>
  <si>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</si>
  <si>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</si>
  <si>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</si>
  <si>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</si>
  <si>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</si>
  <si>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</si>
  <si>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</si>
  <si>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</si>
  <si>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</si>
  <si>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</si>
  <si>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</si>
  <si>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</si>
  <si>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</si>
  <si>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</si>
  <si>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</si>
  <si>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</si>
  <si>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</si>
  <si>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</si>
  <si>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</si>
  <si>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</si>
  <si>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</si>
  <si>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</si>
  <si>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</si>
  <si>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</si>
  <si>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</si>
  <si>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</si>
  <si>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</si>
  <si>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</si>
  <si>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</si>
  <si>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</si>
  <si>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</si>
  <si>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</si>
  <si>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</si>
  <si>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</si>
  <si>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</si>
  <si>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</si>
  <si>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</si>
  <si>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</si>
  <si>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</si>
  <si>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</si>
  <si>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</si>
  <si>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</si>
  <si>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</si>
  <si>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</si>
  <si>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</si>
  <si>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</si>
  <si>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</si>
  <si>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</si>
  <si>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</si>
  <si>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</si>
  <si>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</si>
  <si>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</si>
  <si>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</si>
  <si>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</si>
  <si>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</si>
  <si>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</si>
  <si>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</si>
  <si>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</si>
  <si>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</si>
  <si>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</si>
  <si>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</si>
  <si>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</si>
  <si>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</si>
  <si>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</si>
  <si>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</si>
  <si>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</si>
  <si>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</si>
  <si>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</si>
  <si>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</si>
  <si>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</si>
  <si>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</si>
  <si>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</si>
  <si>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</si>
  <si>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</si>
  <si>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</si>
  <si>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</si>
  <si>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</si>
  <si>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</si>
  <si>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</si>
  <si>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</si>
  <si>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</si>
  <si>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</si>
  <si>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</si>
  <si>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</si>
  <si>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</si>
  <si>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</si>
  <si>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</si>
  <si>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</si>
  <si>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</si>
  <si>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</si>
  <si>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</si>
  <si>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</si>
  <si>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</si>
  <si>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</si>
  <si>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</si>
  <si>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</si>
  <si>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</si>
  <si>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</si>
  <si>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</si>
  <si>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</si>
  <si>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</si>
  <si>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</si>
  <si>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</si>
  <si>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</si>
  <si>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</si>
  <si>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</si>
  <si>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</si>
  <si>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</si>
  <si>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</si>
  <si>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</si>
  <si>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</si>
  <si>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</si>
  <si>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</si>
  <si>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</si>
  <si>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</si>
  <si>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</si>
  <si>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</si>
  <si>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</si>
  <si>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</si>
  <si>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</si>
  <si>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</si>
  <si>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</si>
  <si>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</si>
  <si>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</si>
  <si>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</si>
  <si>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</si>
  <si>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</si>
  <si>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</si>
  <si>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</si>
  <si>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</si>
  <si>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</si>
  <si>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</si>
  <si>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</si>
  <si>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</si>
  <si>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</si>
  <si>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</si>
  <si>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</si>
  <si>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</si>
  <si>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</si>
  <si>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</si>
  <si>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</si>
  <si>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</si>
  <si>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</si>
  <si>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</si>
  <si>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</si>
  <si>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</si>
  <si>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</si>
  <si>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</si>
  <si>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</si>
  <si>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</si>
  <si>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</si>
  <si>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</si>
  <si>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</si>
  <si>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</si>
  <si>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</si>
  <si>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</si>
  <si>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</si>
  <si>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</si>
  <si>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</si>
  <si>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</si>
  <si>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</si>
  <si>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</si>
  <si>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</si>
  <si>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</si>
  <si>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</si>
  <si>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</si>
  <si>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</si>
  <si>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</si>
  <si>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</si>
  <si>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</si>
  <si>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</si>
  <si>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</si>
  <si>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</si>
  <si>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</si>
  <si>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</si>
  <si>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</si>
  <si>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</si>
  <si>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</si>
  <si>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</si>
  <si>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</si>
  <si>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</si>
  <si>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</si>
  <si>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</si>
  <si>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</si>
  <si>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</si>
  <si>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</si>
  <si>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</si>
  <si>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</si>
  <si>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</si>
  <si>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</si>
  <si>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</si>
  <si>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</si>
  <si>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</si>
  <si>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</si>
  <si>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</si>
  <si>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</si>
  <si>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</si>
  <si>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</si>
  <si>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</si>
  <si>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</si>
  <si>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</si>
  <si>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</si>
  <si>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</si>
  <si>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</si>
  <si>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</si>
  <si>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</si>
  <si>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</si>
  <si>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</si>
  <si>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</si>
  <si>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</si>
  <si>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</si>
  <si>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</si>
  <si>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</si>
  <si>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</si>
  <si>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</si>
  <si>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</si>
  <si>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</si>
  <si>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</si>
  <si>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</si>
  <si>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</si>
  <si>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</si>
  <si>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</si>
  <si>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</si>
  <si>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</si>
  <si>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</si>
  <si>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</si>
  <si>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</si>
  <si>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</si>
  <si>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</si>
  <si>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</si>
  <si>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</si>
  <si>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</si>
  <si>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</si>
  <si>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</si>
  <si>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</si>
  <si>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</si>
  <si>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</si>
  <si>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</si>
  <si>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</si>
  <si>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</si>
  <si>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</si>
  <si>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</si>
  <si>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</si>
  <si>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</si>
  <si>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</si>
  <si>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</si>
  <si>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</si>
  <si>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</si>
  <si>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</si>
  <si>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</si>
  <si>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</si>
  <si>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</si>
  <si>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</si>
  <si>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</si>
  <si>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</si>
  <si>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</si>
  <si>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</si>
  <si>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</si>
  <si>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</si>
  <si>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</si>
  <si>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</si>
  <si>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</si>
  <si>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</si>
  <si>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</si>
  <si>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</si>
  <si>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</si>
  <si>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</si>
  <si>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</si>
  <si>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</si>
  <si>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</si>
  <si>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</si>
  <si>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</si>
  <si>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</si>
  <si>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</si>
  <si>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</si>
  <si>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</si>
  <si>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</si>
  <si>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</si>
  <si>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</si>
  <si>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</si>
  <si>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</si>
  <si>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</si>
  <si>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</si>
  <si>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</si>
  <si>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</si>
  <si>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</si>
  <si>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</si>
  <si>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</si>
  <si>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</si>
  <si>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</si>
  <si>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</si>
  <si>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</si>
  <si>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</si>
  <si>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</si>
  <si>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</si>
  <si>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</si>
  <si>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</si>
  <si>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</si>
  <si>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</si>
  <si>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</si>
  <si>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</si>
  <si>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</si>
  <si>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</si>
  <si>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</si>
  <si>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</si>
  <si>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</si>
  <si>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</si>
  <si>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</si>
  <si>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</si>
  <si>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</si>
  <si>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</si>
  <si>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</si>
  <si>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</si>
  <si>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</si>
  <si>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</si>
  <si>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</si>
  <si>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</si>
  <si>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</si>
  <si>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</si>
  <si>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</si>
  <si>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</si>
  <si>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</si>
  <si>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</si>
  <si>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</si>
  <si>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</si>
  <si>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</si>
  <si>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</si>
  <si>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</si>
  <si>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</si>
  <si>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</si>
  <si>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</si>
  <si>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</si>
  <si>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</si>
  <si>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</si>
  <si>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</si>
  <si>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</si>
  <si>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</si>
  <si>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</si>
  <si>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</si>
  <si>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</si>
  <si>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</si>
  <si>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</si>
  <si>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</si>
  <si>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</si>
  <si>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</si>
  <si>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</si>
  <si>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</si>
  <si>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</si>
  <si>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</si>
  <si>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</si>
  <si>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</si>
  <si>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</si>
  <si>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</si>
  <si>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</si>
  <si>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</si>
  <si>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</si>
  <si>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</si>
  <si>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</si>
  <si>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</si>
  <si>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</si>
  <si>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</si>
  <si>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</si>
  <si>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</si>
  <si>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</si>
  <si>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</si>
  <si>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</si>
  <si>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</si>
  <si>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</si>
  <si>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</si>
  <si>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</si>
  <si>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</si>
  <si>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</si>
  <si>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</si>
  <si>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</si>
  <si>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</si>
  <si>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</si>
  <si>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</si>
  <si>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</si>
  <si>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</si>
  <si>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</si>
  <si>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</si>
  <si>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</si>
  <si>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</si>
  <si>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</si>
  <si>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</si>
  <si>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</si>
  <si>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</si>
  <si>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</si>
  <si>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</si>
  <si>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</si>
  <si>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</si>
  <si>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</si>
  <si>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</si>
  <si>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</si>
  <si>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</si>
  <si>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</si>
  <si>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</si>
  <si>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</si>
  <si>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</si>
  <si>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</si>
  <si>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</si>
  <si>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</si>
  <si>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</si>
  <si>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</si>
  <si>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</si>
  <si>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</si>
  <si>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</si>
  <si>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</si>
  <si>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</si>
  <si>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</si>
  <si>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</si>
  <si>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</si>
  <si>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</si>
  <si>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</si>
  <si>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</si>
  <si>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</si>
  <si>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</si>
  <si>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</si>
  <si>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</si>
  <si>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</si>
  <si>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</si>
  <si>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</si>
  <si>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</si>
  <si>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</si>
  <si>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</si>
  <si>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</si>
  <si>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</si>
  <si>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</si>
  <si>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</si>
  <si>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</si>
  <si>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</si>
  <si>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</si>
  <si>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</si>
  <si>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</si>
  <si>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</si>
  <si>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</si>
  <si>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</si>
  <si>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</si>
  <si>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</si>
  <si>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</si>
  <si>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</si>
  <si>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</si>
  <si>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</si>
  <si>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</si>
  <si>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</si>
  <si>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</si>
  <si>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</si>
  <si>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</si>
  <si>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</si>
  <si>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</si>
  <si>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</si>
  <si>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</si>
  <si>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</si>
  <si>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</si>
  <si>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</si>
  <si>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</si>
  <si>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</si>
  <si>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</si>
  <si>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</si>
  <si>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</si>
  <si>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</si>
  <si>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</si>
  <si>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</si>
  <si>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</si>
  <si>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</si>
  <si>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</si>
  <si>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</si>
  <si>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</si>
  <si>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</si>
  <si>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</si>
  <si>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</si>
  <si>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</si>
  <si>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</si>
  <si>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</si>
  <si>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</si>
  <si>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</si>
  <si>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</si>
  <si>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</si>
  <si>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</si>
  <si>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</si>
  <si>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</si>
  <si>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</si>
  <si>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</si>
  <si>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</si>
  <si>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</si>
  <si>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</si>
  <si>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</si>
  <si>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</si>
  <si>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</si>
  <si>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</si>
  <si>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</si>
  <si>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</si>
  <si>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</si>
  <si>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</si>
  <si>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</si>
  <si>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</si>
  <si>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</si>
  <si>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</si>
  <si>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</si>
  <si>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</si>
  <si>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</si>
  <si>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</si>
  <si>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</si>
  <si>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</si>
  <si>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</si>
  <si>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</si>
  <si>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</si>
  <si>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</si>
  <si>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</si>
  <si>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</si>
  <si>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</si>
  <si>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</si>
  <si>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</si>
  <si>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</si>
  <si>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</si>
  <si>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</si>
  <si>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</si>
  <si>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</si>
  <si>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</si>
  <si>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</si>
  <si>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</si>
  <si>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</si>
  <si>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</si>
  <si>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</si>
  <si>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</si>
  <si>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</si>
  <si>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</si>
  <si>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</si>
  <si>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</si>
  <si>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</si>
  <si>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</si>
  <si>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</si>
  <si>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</si>
  <si>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</si>
  <si>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</si>
  <si>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</si>
  <si>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</si>
  <si>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</si>
  <si>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</si>
  <si>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</si>
  <si>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</si>
  <si>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</si>
  <si>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</si>
  <si>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</si>
  <si>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</si>
  <si>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</si>
  <si>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</si>
  <si>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</si>
  <si>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</si>
  <si>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</si>
  <si>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</si>
  <si>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</si>
  <si>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</si>
  <si>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</si>
  <si>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</si>
  <si>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</si>
  <si>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</si>
  <si>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</si>
  <si>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</si>
  <si>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</si>
  <si>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</si>
  <si>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</si>
  <si>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</si>
  <si>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</si>
  <si>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</si>
  <si>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</si>
  <si>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</si>
  <si>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</si>
  <si>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</si>
  <si>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</si>
  <si>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</si>
  <si>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</si>
  <si>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</si>
  <si>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</si>
  <si>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</si>
  <si>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</si>
  <si>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</si>
  <si>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</si>
  <si>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</si>
  <si>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</si>
  <si>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</si>
  <si>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</si>
  <si>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</si>
  <si>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</si>
  <si>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</si>
  <si>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</si>
  <si>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</si>
  <si>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</si>
  <si>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</si>
  <si>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</si>
  <si>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</si>
  <si>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</si>
  <si>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</si>
  <si>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</si>
  <si>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</si>
  <si>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</si>
  <si>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</si>
  <si>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</si>
  <si>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</si>
  <si>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</si>
  <si>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</si>
  <si>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</si>
  <si>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</si>
  <si>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</si>
  <si>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</si>
  <si>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</si>
  <si>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</si>
  <si>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</si>
  <si>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</si>
  <si>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</si>
  <si>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</si>
  <si>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</si>
  <si>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</si>
  <si>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</si>
  <si>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</si>
  <si>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</si>
  <si>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</si>
  <si>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</si>
  <si>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</si>
  <si>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</si>
  <si>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</si>
  <si>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</si>
  <si>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</si>
  <si>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</si>
  <si>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</si>
  <si>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</si>
  <si>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</si>
  <si>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</si>
  <si>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</si>
  <si>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</si>
  <si>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</si>
  <si>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</si>
  <si>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</si>
  <si>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</si>
  <si>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</si>
  <si>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</si>
  <si>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</si>
  <si>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</si>
  <si>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</si>
  <si>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</si>
  <si>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</si>
  <si>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</si>
  <si>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</si>
  <si>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</si>
  <si>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</si>
  <si>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</si>
  <si>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</si>
  <si>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</si>
  <si>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</si>
  <si>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</si>
  <si>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</si>
  <si>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</si>
  <si>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</si>
  <si>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</si>
  <si>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</si>
  <si>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</si>
  <si>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</si>
  <si>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</si>
  <si>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</si>
  <si>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</si>
  <si>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</si>
  <si>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</si>
  <si>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</si>
  <si>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</si>
  <si>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</si>
  <si>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</si>
  <si>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</si>
  <si>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</si>
  <si>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</si>
  <si>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</si>
  <si>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</si>
  <si>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</si>
  <si>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</si>
  <si>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</si>
  <si>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</si>
  <si>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</si>
  <si>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</si>
  <si>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</si>
  <si>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</si>
  <si>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</si>
  <si>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</si>
  <si>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</si>
  <si>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</si>
  <si>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</si>
  <si>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</si>
  <si>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</si>
  <si>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</si>
  <si>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</si>
  <si>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</si>
  <si>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</si>
  <si>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</si>
  <si>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</si>
  <si>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</si>
  <si>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</si>
  <si>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</si>
  <si>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</si>
  <si>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</si>
  <si>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</si>
  <si>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</si>
  <si>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</si>
  <si>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</si>
  <si>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</si>
  <si>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</si>
  <si>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</si>
  <si>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</si>
  <si>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</si>
  <si>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</si>
  <si>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</si>
  <si>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</si>
  <si>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</si>
  <si>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</si>
  <si>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</si>
  <si>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</si>
  <si>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</si>
  <si>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</si>
  <si>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</si>
  <si>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</si>
  <si>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</si>
  <si>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</si>
  <si>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</si>
  <si>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</si>
  <si>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</si>
  <si>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</si>
  <si>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</si>
  <si>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</si>
  <si>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</si>
  <si>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</si>
  <si>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</si>
  <si>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</si>
  <si>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</si>
  <si>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</si>
  <si>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</si>
  <si>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</si>
  <si>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</si>
  <si>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</si>
  <si>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</si>
  <si>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</si>
  <si>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</si>
  <si>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</si>
  <si>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</si>
  <si>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</si>
  <si>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</si>
  <si>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</si>
  <si>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</si>
  <si>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</si>
  <si>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</si>
  <si>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</si>
  <si>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</si>
  <si>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</si>
  <si>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</si>
  <si>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</si>
  <si>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</si>
  <si>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</si>
  <si>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</si>
  <si>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</si>
  <si>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</si>
  <si>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</si>
  <si>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</si>
  <si>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</si>
  <si>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</si>
  <si>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</si>
  <si>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</si>
  <si>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</si>
  <si>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</si>
  <si>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</si>
  <si>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</si>
  <si>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</si>
  <si>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</si>
  <si>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</si>
  <si>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</si>
  <si>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</si>
  <si>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</si>
  <si>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</si>
  <si>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</si>
  <si>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</si>
  <si>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</si>
  <si>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</si>
  <si>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</si>
  <si>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</si>
  <si>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</si>
  <si>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</si>
  <si>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</si>
  <si>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</si>
  <si>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</si>
  <si>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</si>
  <si>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</si>
  <si>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</si>
  <si>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</si>
  <si>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</si>
  <si>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</si>
  <si>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</si>
  <si>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</si>
  <si>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</si>
  <si>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</si>
  <si>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</si>
  <si>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</si>
  <si>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</si>
  <si>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</si>
  <si>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</si>
  <si>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</si>
  <si>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</si>
  <si>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</si>
  <si>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</si>
  <si>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</si>
  <si>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</si>
  <si>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</si>
  <si>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</si>
  <si>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</si>
  <si>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</si>
  <si>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</si>
  <si>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</si>
  <si>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</si>
  <si>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</si>
  <si>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</si>
  <si>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</si>
  <si>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</si>
  <si>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</si>
  <si>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</si>
  <si>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</si>
  <si>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</si>
  <si>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</si>
  <si>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</si>
  <si>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</si>
  <si>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</si>
  <si>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</si>
  <si>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</si>
  <si>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</si>
  <si>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</si>
  <si>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</si>
  <si>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</si>
  <si>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</si>
  <si>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</si>
  <si>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</si>
  <si>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</si>
  <si>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</si>
  <si>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</si>
  <si>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</si>
  <si>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</si>
  <si>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</si>
  <si>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</si>
  <si>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</si>
  <si>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</si>
  <si>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</si>
  <si>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</si>
  <si>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</si>
  <si>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</si>
  <si>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</si>
  <si>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</si>
  <si>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</si>
  <si>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</si>
  <si>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</si>
  <si>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</si>
  <si>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</si>
  <si>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</si>
  <si>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</si>
  <si>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</si>
  <si>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</si>
  <si>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</si>
  <si>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</si>
  <si>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</si>
  <si>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</si>
  <si>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</si>
  <si>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</si>
  <si>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</si>
  <si>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</si>
  <si>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</si>
  <si>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</si>
  <si>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</si>
  <si>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</si>
  <si>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</si>
  <si>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</si>
  <si>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</si>
  <si>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</si>
  <si>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</si>
  <si>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</si>
  <si>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</si>
  <si>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</si>
  <si>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</si>
  <si>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</si>
  <si>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</si>
  <si>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</si>
  <si>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</si>
  <si>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</si>
  <si>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</si>
  <si>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</si>
  <si>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</si>
  <si>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</si>
  <si>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</si>
  <si>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</si>
  <si>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</si>
  <si>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</si>
  <si>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</si>
  <si>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</si>
  <si>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</si>
  <si>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</si>
  <si>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</si>
  <si>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</si>
  <si>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</si>
  <si>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</si>
  <si>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</si>
  <si>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</si>
  <si>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</si>
  <si>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</si>
  <si>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</si>
  <si>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</si>
  <si>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</si>
  <si>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</si>
  <si>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</si>
  <si>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</si>
  <si>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</si>
  <si>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</si>
  <si>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</si>
  <si>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</si>
  <si>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</si>
  <si>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</si>
  <si>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</si>
  <si>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</si>
  <si>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</si>
  <si>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</si>
  <si>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</si>
  <si>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</si>
  <si>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</si>
  <si>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</si>
  <si>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</si>
  <si>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</si>
  <si>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</si>
  <si>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</si>
  <si>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</si>
  <si>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</si>
  <si>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</si>
  <si>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</si>
  <si>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</si>
  <si>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</si>
  <si>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</si>
  <si>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</si>
  <si>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</si>
  <si>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</si>
  <si>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</si>
  <si>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</si>
  <si>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</si>
  <si>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</si>
  <si>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</si>
  <si>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</si>
  <si>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</si>
  <si>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</si>
  <si>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</si>
  <si>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</si>
  <si>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</si>
  <si>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</si>
  <si>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</si>
  <si>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</si>
  <si>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</si>
  <si>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</si>
  <si>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</si>
  <si>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</si>
  <si>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</si>
  <si>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</si>
  <si>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</si>
  <si>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</si>
  <si>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</si>
  <si>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</si>
  <si>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</si>
  <si>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</si>
  <si>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</si>
  <si>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</si>
  <si>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</si>
  <si>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</si>
  <si>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</si>
  <si>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</si>
  <si>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</si>
  <si>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</si>
  <si>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</si>
  <si>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</si>
  <si>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</si>
  <si>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</si>
  <si>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</si>
  <si>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</si>
  <si>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D1-2b</t>
  </si>
  <si>
    <t>G1-3i</t>
  </si>
  <si>
    <t>H1-3p, H4b</t>
  </si>
  <si>
    <t>SLBR.E2022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</si>
</sst>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7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0" fillId="0" borderId="25" xfId="0" applyBorder="1"/>
    <xf numFmtId="0" fontId="14" fillId="0" borderId="25" xfId="0" applyFont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horizontal="center"/>
    </xf>
    <xf numFmtId="0" fontId="44" fillId="0" borderId="25" xfId="0" applyFont="1" applyBorder="1" applyAlignment="1">
      <alignment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0" t="s">
        <v>57</v>
      </c>
      <c r="B2" s="140"/>
      <c r="C2" s="140"/>
      <c r="D2" s="140"/>
      <c r="E2" s="140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2" t="s">
        <v>5390</v>
      </c>
      <c r="B22" s="142"/>
      <c r="C22" s="142"/>
      <c r="D22" s="142"/>
      <c r="E22" s="142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1" t="s">
        <v>5391</v>
      </c>
      <c r="B24" s="141"/>
      <c r="C24" s="141"/>
      <c r="D24" s="141"/>
      <c r="E24" s="141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1" t="s">
        <v>61</v>
      </c>
      <c r="B39" s="141"/>
      <c r="C39" s="141"/>
      <c r="D39" s="141"/>
      <c r="E39" s="141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1" t="s">
        <v>62</v>
      </c>
      <c r="B45" s="141"/>
      <c r="C45" s="141"/>
      <c r="D45" s="141"/>
      <c r="E45" s="141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6" t="s">
        <v>43</v>
      </c>
      <c r="B93" s="137"/>
      <c r="C93" s="139"/>
      <c r="D93" s="143" t="s">
        <v>44</v>
      </c>
      <c r="E93" s="138"/>
    </row>
    <row r="94" spans="1:5" x14ac:dyDescent="0.2">
      <c r="A94" s="73" t="s">
        <v>23</v>
      </c>
      <c r="B94" s="134" t="s">
        <v>30</v>
      </c>
      <c r="C94" s="135"/>
      <c r="D94" s="3" t="s">
        <v>46</v>
      </c>
      <c r="E94" s="9">
        <v>8</v>
      </c>
    </row>
    <row r="95" spans="1:5" x14ac:dyDescent="0.2">
      <c r="A95" s="73" t="s">
        <v>24</v>
      </c>
      <c r="B95" s="130" t="s">
        <v>31</v>
      </c>
      <c r="C95" s="131"/>
      <c r="D95" s="3" t="s">
        <v>47</v>
      </c>
      <c r="E95" s="9">
        <v>7</v>
      </c>
    </row>
    <row r="96" spans="1:5" x14ac:dyDescent="0.2">
      <c r="A96" s="73" t="s">
        <v>3</v>
      </c>
      <c r="B96" s="130" t="s">
        <v>32</v>
      </c>
      <c r="C96" s="131"/>
      <c r="D96" s="3" t="s">
        <v>48</v>
      </c>
      <c r="E96" s="9">
        <v>6</v>
      </c>
    </row>
    <row r="97" spans="1:5" x14ac:dyDescent="0.2">
      <c r="A97" s="73" t="s">
        <v>25</v>
      </c>
      <c r="B97" s="130" t="s">
        <v>33</v>
      </c>
      <c r="C97" s="131"/>
      <c r="D97" s="3" t="s">
        <v>49</v>
      </c>
      <c r="E97" s="9">
        <v>5</v>
      </c>
    </row>
    <row r="98" spans="1:5" x14ac:dyDescent="0.2">
      <c r="A98" s="73" t="s">
        <v>26</v>
      </c>
      <c r="B98" s="130" t="s">
        <v>34</v>
      </c>
      <c r="C98" s="131"/>
      <c r="D98" s="3" t="s">
        <v>50</v>
      </c>
      <c r="E98" s="9">
        <v>4</v>
      </c>
    </row>
    <row r="99" spans="1:5" x14ac:dyDescent="0.2">
      <c r="A99" s="73" t="s">
        <v>27</v>
      </c>
      <c r="B99" s="130" t="s">
        <v>35</v>
      </c>
      <c r="C99" s="131"/>
      <c r="D99" s="3" t="s">
        <v>4</v>
      </c>
      <c r="E99" s="9">
        <v>3</v>
      </c>
    </row>
    <row r="100" spans="1:5" x14ac:dyDescent="0.2">
      <c r="A100" s="73" t="s">
        <v>2</v>
      </c>
      <c r="B100" s="130" t="s">
        <v>36</v>
      </c>
      <c r="C100" s="131"/>
      <c r="D100" s="3" t="s">
        <v>5</v>
      </c>
      <c r="E100" s="9">
        <v>2</v>
      </c>
    </row>
    <row r="101" spans="1:5" x14ac:dyDescent="0.2">
      <c r="A101" s="73" t="s">
        <v>28</v>
      </c>
      <c r="B101" s="130" t="s">
        <v>37</v>
      </c>
      <c r="C101" s="131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2" t="s">
        <v>38</v>
      </c>
      <c r="C102" s="133"/>
      <c r="D102" s="5"/>
      <c r="E102" s="8"/>
    </row>
    <row r="103" spans="1:5" ht="13.5" thickBot="1" x14ac:dyDescent="0.25">
      <c r="A103" s="136" t="s">
        <v>68</v>
      </c>
      <c r="B103" s="137"/>
      <c r="C103" s="139"/>
      <c r="D103" s="143" t="s">
        <v>45</v>
      </c>
      <c r="E103" s="138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6" t="s">
        <v>21</v>
      </c>
      <c r="B112" s="137"/>
      <c r="C112" s="138"/>
    </row>
    <row r="113" spans="1:3" x14ac:dyDescent="0.2">
      <c r="A113" s="73">
        <v>1</v>
      </c>
      <c r="B113" s="134" t="s">
        <v>40</v>
      </c>
      <c r="C113" s="135"/>
    </row>
    <row r="114" spans="1:3" x14ac:dyDescent="0.2">
      <c r="A114" s="73" t="s">
        <v>39</v>
      </c>
      <c r="B114" s="130" t="s">
        <v>41</v>
      </c>
      <c r="C114" s="131"/>
    </row>
    <row r="115" spans="1:3" x14ac:dyDescent="0.2">
      <c r="A115" s="74" t="s">
        <v>15</v>
      </c>
      <c r="B115" s="128" t="s">
        <v>42</v>
      </c>
      <c r="C115" s="12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0" t="s">
        <v>127</v>
      </c>
      <c r="B1" s="140"/>
      <c r="C1" s="140"/>
      <c r="D1" s="140"/>
      <c r="E1" s="140"/>
      <c r="F1" s="140"/>
      <c r="G1" s="140"/>
      <c r="H1" s="14"/>
    </row>
    <row r="2" spans="1:14" x14ac:dyDescent="0.2">
      <c r="A2" s="146" t="s">
        <v>138</v>
      </c>
      <c r="B2" s="146"/>
      <c r="C2" s="15"/>
      <c r="D2" s="15"/>
      <c r="E2" s="15"/>
      <c r="F2" s="15"/>
      <c r="G2" s="15"/>
      <c r="H2" s="15"/>
    </row>
    <row r="3" spans="1:14" x14ac:dyDescent="0.2">
      <c r="A3" s="147" t="s">
        <v>52</v>
      </c>
      <c r="B3" s="147"/>
      <c r="C3" s="15"/>
      <c r="D3" s="15"/>
      <c r="E3" s="15"/>
      <c r="F3" s="15"/>
      <c r="G3" s="15"/>
      <c r="H3" s="15"/>
    </row>
    <row r="4" spans="1:14" x14ac:dyDescent="0.2">
      <c r="A4" s="147" t="s">
        <v>55</v>
      </c>
      <c r="B4" s="147"/>
      <c r="C4" s="15"/>
      <c r="D4" s="15"/>
      <c r="E4" s="15"/>
      <c r="F4" s="15"/>
      <c r="G4" s="15"/>
      <c r="H4" s="15"/>
    </row>
    <row r="5" spans="1:14" x14ac:dyDescent="0.2">
      <c r="A5" s="147" t="s">
        <v>51</v>
      </c>
      <c r="B5" s="147"/>
      <c r="C5" s="15"/>
      <c r="D5" s="15"/>
      <c r="E5" s="15"/>
      <c r="F5" s="15"/>
      <c r="G5" s="15"/>
      <c r="H5" s="15"/>
    </row>
    <row r="6" spans="1:14" x14ac:dyDescent="0.2">
      <c r="A6" s="144" t="s">
        <v>128</v>
      </c>
      <c r="B6" s="144"/>
    </row>
    <row r="7" spans="1:14" x14ac:dyDescent="0.2">
      <c r="A7" s="144" t="s">
        <v>129</v>
      </c>
      <c r="B7" s="144"/>
      <c r="C7" s="145"/>
      <c r="D7" s="145"/>
      <c r="E7" s="145"/>
      <c r="F7" s="145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982" zoomScale="70" zoomScaleNormal="70" workbookViewId="0">
      <selection activeCell="A999" sqref="A99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2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4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9" t="s">
        <v>5439</v>
      </c>
      <c r="C1120" s="39">
        <v>0</v>
      </c>
      <c r="D1120" s="120" t="s">
        <v>149</v>
      </c>
      <c r="E1120" s="121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3" customFormat="1" ht="15.75" thickBot="1" x14ac:dyDescent="0.3">
      <c r="A1186" s="116" t="s">
        <v>5435</v>
      </c>
      <c r="C1186" s="113">
        <v>0</v>
      </c>
      <c r="D1186" s="113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3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7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4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9" t="s">
        <v>5438</v>
      </c>
      <c r="C2392" s="39">
        <v>3</v>
      </c>
      <c r="D2392" s="120" t="s">
        <v>157</v>
      </c>
      <c r="E2392" s="121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4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1" customFormat="1" ht="15" x14ac:dyDescent="0.25">
      <c r="A2524" s="112" t="s">
        <v>5428</v>
      </c>
      <c r="C2524" s="111">
        <v>3</v>
      </c>
      <c r="D2524" s="111" t="s">
        <v>149</v>
      </c>
      <c r="E2524" s="111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5" customFormat="1" x14ac:dyDescent="0.2">
      <c r="A2670" s="36" t="s">
        <v>5436</v>
      </c>
      <c r="C2670" s="115">
        <v>1</v>
      </c>
      <c r="D2670" s="115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8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6" t="s">
        <v>138</v>
      </c>
      <c r="B2" s="46" t="s">
        <v>5446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9"/>
      <c r="C7" s="149"/>
      <c r="D7" s="149"/>
      <c r="E7" s="14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7" customFormat="1" ht="14.25" thickTop="1" thickBot="1" x14ac:dyDescent="0.25">
      <c r="A10" s="45" t="s">
        <v>5443</v>
      </c>
      <c r="B10" s="154"/>
      <c r="C10" s="154"/>
      <c r="D10" s="154"/>
      <c r="E10" s="154"/>
      <c r="F10" s="154"/>
      <c r="G10" s="154"/>
      <c r="H10" s="154"/>
      <c r="I10" s="155"/>
      <c r="J10" s="154"/>
      <c r="K10" s="154"/>
      <c r="L10" s="154"/>
      <c r="M10" s="154"/>
      <c r="N10" s="156"/>
      <c r="O10" s="156"/>
    </row>
    <row r="11" spans="1:15" s="127" customFormat="1" ht="13.5" thickTop="1" x14ac:dyDescent="0.2">
      <c r="A11" s="154"/>
      <c r="B11" s="154"/>
      <c r="C11" s="154"/>
      <c r="D11" s="154"/>
      <c r="E11" s="154"/>
      <c r="F11" s="154"/>
      <c r="G11" s="154"/>
      <c r="H11" s="154"/>
      <c r="I11" s="155"/>
      <c r="J11" s="154"/>
      <c r="K11" s="154"/>
      <c r="L11" s="154"/>
      <c r="M11" s="154"/>
      <c r="N11" s="156"/>
      <c r="O11" s="156"/>
    </row>
    <row r="12" spans="1:15" x14ac:dyDescent="0.2">
      <c r="A12" s="124" t="s">
        <v>3762</v>
      </c>
      <c r="B12" s="44" t="str">
        <f>IF(LEN(VLOOKUP(A12,'Species List'!$A:$G,2,FALSE))=0,"",VLOOKUP(A12,'Species List'!$A:$G,2,FALSE))</f>
        <v>smooth sumac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5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3" si="1">VALUE(L12)</f>
        <v>3</v>
      </c>
      <c r="N12" s="110">
        <f t="shared" ref="N12:N77" si="2">L12/$L$153</f>
        <v>0.5</v>
      </c>
      <c r="O12" s="110">
        <f t="shared" ref="O12:O13" si="3">D12*N12</f>
        <v>1</v>
      </c>
    </row>
    <row r="13" spans="1:15" x14ac:dyDescent="0.2">
      <c r="A13" s="124" t="s">
        <v>162</v>
      </c>
      <c r="B13" s="44" t="str">
        <f>IF(LEN(VLOOKUP(A13,'Species List'!$A:$G,2,FALSE))=0,"",VLOOKUP(A13,'Species List'!$A:$G,2,FALSE))</f>
        <v>box elder</v>
      </c>
      <c r="C13" s="44">
        <f>IF(LEN(VLOOKUP(A13,'Species List'!$A:$G,3,FALSE))=0,"",VLOOKUP(A13,'Species List'!$A:$G,3,FALSE))</f>
        <v>1</v>
      </c>
      <c r="D13" s="99">
        <f t="shared" si="0"/>
        <v>1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FACW-</v>
      </c>
      <c r="H13" s="44">
        <f>VLOOKUP(A13,'Species List'!$A:$G,7,FALSE)</f>
        <v>0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0.5</v>
      </c>
      <c r="O13" s="110">
        <f t="shared" si="3"/>
        <v>0.5</v>
      </c>
    </row>
    <row r="14" spans="1:15" x14ac:dyDescent="0.2">
      <c r="A14" s="105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9" t="e">
        <f>VALUE(C14)</f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91"/>
      <c r="K14" s="47" t="e">
        <f>VLOOKUP(J14,'Species List'!$H$1:$J$9,2,FALSE)</f>
        <v>#N/A</v>
      </c>
      <c r="L14" s="47" t="e">
        <f>VLOOKUP(K14,'Species List'!$I$1:$N$8,2,FALSE)</f>
        <v>#N/A</v>
      </c>
      <c r="M14" s="100" t="e">
        <f>VALUE(L14)</f>
        <v>#N/A</v>
      </c>
      <c r="N14" s="85" t="e">
        <f t="shared" si="2"/>
        <v>#N/A</v>
      </c>
      <c r="O14" s="85" t="e">
        <f>D14*N14</f>
        <v>#N/A</v>
      </c>
    </row>
    <row r="15" spans="1:15" x14ac:dyDescent="0.2">
      <c r="A15" s="106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ref="D15:D78" si="4">VALUE(C15)</f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91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ref="M15:M78" si="5">VALUE(L15)</f>
        <v>#N/A</v>
      </c>
      <c r="N15" s="85" t="e">
        <f t="shared" si="2"/>
        <v>#N/A</v>
      </c>
      <c r="O15" s="98" t="e">
        <f t="shared" ref="O15:O78" si="6">D15*N15</f>
        <v>#N/A</v>
      </c>
    </row>
    <row r="16" spans="1:15" x14ac:dyDescent="0.2">
      <c r="A16" s="107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91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5"/>
        <v>#N/A</v>
      </c>
      <c r="N16" s="85" t="e">
        <f t="shared" si="2"/>
        <v>#N/A</v>
      </c>
      <c r="O16" s="98" t="e">
        <f t="shared" si="6"/>
        <v>#N/A</v>
      </c>
    </row>
    <row r="17" spans="1:15" x14ac:dyDescent="0.2">
      <c r="A17" s="9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5"/>
        <v>#N/A</v>
      </c>
      <c r="N17" s="85" t="e">
        <f t="shared" si="2"/>
        <v>#N/A</v>
      </c>
      <c r="O17" s="98" t="e">
        <f t="shared" si="6"/>
        <v>#N/A</v>
      </c>
    </row>
    <row r="18" spans="1:15" x14ac:dyDescent="0.2">
      <c r="A18" s="9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5"/>
        <v>#N/A</v>
      </c>
      <c r="N18" s="85" t="e">
        <f t="shared" si="2"/>
        <v>#N/A</v>
      </c>
      <c r="O18" s="98" t="e">
        <f t="shared" si="6"/>
        <v>#N/A</v>
      </c>
    </row>
    <row r="19" spans="1:15" x14ac:dyDescent="0.2">
      <c r="A19" s="9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5"/>
        <v>#N/A</v>
      </c>
      <c r="N19" s="85" t="e">
        <f t="shared" si="2"/>
        <v>#N/A</v>
      </c>
      <c r="O19" s="98" t="e">
        <f t="shared" si="6"/>
        <v>#N/A</v>
      </c>
    </row>
    <row r="20" spans="1:15" x14ac:dyDescent="0.2">
      <c r="A20" s="9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5"/>
        <v>#N/A</v>
      </c>
      <c r="N20" s="85" t="e">
        <f t="shared" si="2"/>
        <v>#N/A</v>
      </c>
      <c r="O20" s="98" t="e">
        <f t="shared" si="6"/>
        <v>#N/A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50" t="s">
        <v>5376</v>
      </c>
      <c r="J153" s="151"/>
      <c r="K153" s="152"/>
      <c r="L153" s="63">
        <f>SUMIF(L12:L152,"&gt;=0")</f>
        <v>6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9"/>
      <c r="C7" s="149"/>
      <c r="D7" s="149"/>
      <c r="E7" s="14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7" customFormat="1" ht="14.25" thickTop="1" thickBot="1" x14ac:dyDescent="0.25">
      <c r="A10" s="45" t="s">
        <v>5445</v>
      </c>
      <c r="B10" s="154"/>
      <c r="C10" s="154"/>
      <c r="D10" s="154"/>
      <c r="E10" s="154"/>
      <c r="F10" s="154"/>
      <c r="G10" s="154"/>
      <c r="H10" s="154"/>
      <c r="I10" s="155"/>
      <c r="J10" s="154"/>
      <c r="K10" s="154"/>
      <c r="L10" s="154"/>
      <c r="M10" s="154"/>
      <c r="N10" s="156"/>
      <c r="O10" s="156"/>
    </row>
    <row r="11" spans="1:15" s="127" customFormat="1" ht="13.5" thickTop="1" x14ac:dyDescent="0.2">
      <c r="A11" s="154"/>
      <c r="B11" s="154"/>
      <c r="C11" s="154"/>
      <c r="D11" s="154"/>
      <c r="E11" s="154"/>
      <c r="F11" s="154"/>
      <c r="G11" s="154"/>
      <c r="H11" s="154"/>
      <c r="I11" s="155"/>
      <c r="J11" s="154"/>
      <c r="K11" s="154"/>
      <c r="L11" s="154"/>
      <c r="M11" s="154"/>
      <c r="N11" s="156"/>
      <c r="O11" s="156"/>
    </row>
    <row r="12" spans="1:15" x14ac:dyDescent="0.2">
      <c r="A12" s="124" t="s">
        <v>4165</v>
      </c>
      <c r="B12" s="44" t="str">
        <f>IF(LEN(VLOOKUP(A12,'Species List'!$A:$G,2,FALSE))=0,"",VLOOKUP(A12,'Species List'!$A:$G,2,FALSE))</f>
        <v>compass plant</v>
      </c>
      <c r="C12" s="44">
        <f>IF(LEN(VLOOKUP(A12,'Species List'!$A:$G,3,FALSE))=0,"",VLOOKUP(A12,'Species List'!$A:$G,3,FALSE))</f>
        <v>8</v>
      </c>
      <c r="D12" s="99">
        <f t="shared" ref="D12:D13" si="0">VALUE(C12)</f>
        <v>8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5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4" si="1">VALUE(L12)</f>
        <v>15</v>
      </c>
      <c r="N12" s="110">
        <f t="shared" ref="N12:N13" si="2">L12/$L$153</f>
        <v>0.11952191235059761</v>
      </c>
      <c r="O12" s="110">
        <f t="shared" ref="O12:O13" si="3">D12*N12</f>
        <v>0.95617529880478092</v>
      </c>
    </row>
    <row r="13" spans="1:15" x14ac:dyDescent="0.2">
      <c r="A13" s="124" t="s">
        <v>1801</v>
      </c>
      <c r="B13" s="44" t="str">
        <f>IF(LEN(VLOOKUP(A13,'Species List'!$A:$G,2,FALSE))=0,"",VLOOKUP(A13,'Species List'!$A:$G,2,FALSE))</f>
        <v>narrow-leaved purple coneflower</v>
      </c>
      <c r="C13" s="44" t="str">
        <f>IF(LEN(VLOOKUP(A13,'Species List'!$A:$G,3,FALSE))=0,"",VLOOKUP(A13,'Species List'!$A:$G,3,FALSE))</f>
        <v/>
      </c>
      <c r="D13" s="99" t="e">
        <f t="shared" si="0"/>
        <v>#VALUE!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/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2.3904382470119521E-2</v>
      </c>
      <c r="O13" s="110" t="e">
        <f t="shared" si="3"/>
        <v>#VALUE!</v>
      </c>
    </row>
    <row r="14" spans="1:15" x14ac:dyDescent="0.2">
      <c r="A14" s="124" t="s">
        <v>518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9">
        <f>VALUE(C14)</f>
        <v>3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UPL</v>
      </c>
      <c r="H14" s="44">
        <f>VLOOKUP(A14,'Species List'!$A:$G,7,FALSE)</f>
        <v>0</v>
      </c>
      <c r="J14" s="125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0.11952191235059761</v>
      </c>
      <c r="O14" s="85">
        <f>D14*N14</f>
        <v>0.35856573705179284</v>
      </c>
    </row>
    <row r="15" spans="1:15" x14ac:dyDescent="0.2">
      <c r="A15" s="124" t="s">
        <v>2946</v>
      </c>
      <c r="B15" s="44" t="str">
        <f>IF(LEN(VLOOKUP(A15,'Species List'!$A:$G,2,FALSE))=0,"",VLOOKUP(A15,'Species List'!$A:$G,2,FALSE))</f>
        <v>wild bergamot</v>
      </c>
      <c r="C15" s="44">
        <f>IF(LEN(VLOOKUP(A15,'Species List'!$A:$G,3,FALSE))=0,"",VLOOKUP(A15,'Species List'!$A:$G,3,FALSE))</f>
        <v>3</v>
      </c>
      <c r="D15" s="99">
        <f t="shared" ref="D15:D78" si="4">VALUE(C15)</f>
        <v>3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5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0.11952191235059761</v>
      </c>
      <c r="O15" s="98">
        <f t="shared" ref="O15:O78" si="7">D15*N15</f>
        <v>0.35856573705179284</v>
      </c>
    </row>
    <row r="16" spans="1:15" x14ac:dyDescent="0.2">
      <c r="A16" s="124" t="s">
        <v>3751</v>
      </c>
      <c r="B16" s="44" t="str">
        <f>IF(LEN(VLOOKUP(A16,'Species List'!$A:$G,2,FALSE))=0,"",VLOOKUP(A16,'Species List'!$A:$G,2,FALSE))</f>
        <v>gray-headed coneflower</v>
      </c>
      <c r="C16" s="44">
        <f>IF(LEN(VLOOKUP(A16,'Species List'!$A:$G,3,FALSE))=0,"",VLOOKUP(A16,'Species List'!$A:$G,3,FALSE))</f>
        <v>4</v>
      </c>
      <c r="D16" s="99">
        <f t="shared" si="4"/>
        <v>4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5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98">
        <f t="shared" si="6"/>
        <v>0.11952191235059761</v>
      </c>
      <c r="O16" s="98">
        <f t="shared" si="7"/>
        <v>0.47808764940239046</v>
      </c>
    </row>
    <row r="17" spans="1:15" x14ac:dyDescent="0.2">
      <c r="A17" s="124" t="s">
        <v>552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6</v>
      </c>
      <c r="D17" s="99">
        <f t="shared" si="4"/>
        <v>6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5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98">
        <f t="shared" si="6"/>
        <v>3.9840637450199202E-3</v>
      </c>
      <c r="O17" s="98">
        <f t="shared" si="7"/>
        <v>2.3904382470119521E-2</v>
      </c>
    </row>
    <row r="18" spans="1:15" x14ac:dyDescent="0.2">
      <c r="A18" s="124" t="s">
        <v>4658</v>
      </c>
      <c r="B18" s="44" t="str">
        <f>IF(LEN(VLOOKUP(A18,'Species List'!$A:$G,2,FALSE))=0,"",VLOOKUP(A18,'Species List'!$A:$G,2,FALSE))</f>
        <v>hoary vervain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5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100">
        <f t="shared" si="5"/>
        <v>15</v>
      </c>
      <c r="N18" s="98">
        <f t="shared" si="6"/>
        <v>0.11952191235059761</v>
      </c>
      <c r="O18" s="98">
        <f t="shared" si="7"/>
        <v>0.35856573705179284</v>
      </c>
    </row>
    <row r="19" spans="1:15" x14ac:dyDescent="0.2">
      <c r="A19" s="124" t="s">
        <v>3327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5" t="s">
        <v>5409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100">
        <f t="shared" si="5"/>
        <v>0.5</v>
      </c>
      <c r="N19" s="98">
        <f t="shared" si="6"/>
        <v>3.9840637450199202E-3</v>
      </c>
      <c r="O19" s="98">
        <f t="shared" si="7"/>
        <v>1.1952191235059761E-2</v>
      </c>
    </row>
    <row r="20" spans="1:15" x14ac:dyDescent="0.2">
      <c r="A20" s="124" t="s">
        <v>4433</v>
      </c>
      <c r="B20" s="44" t="str">
        <f>IF(LEN(VLOOKUP(A20,'Species List'!$A:$G,2,FALSE))=0,"",VLOOKUP(A20,'Species List'!$A:$G,2,FALSE))</f>
        <v>awl aster</v>
      </c>
      <c r="C20" s="44">
        <f>IF(LEN(VLOOKUP(A20,'Species List'!$A:$G,3,FALSE))=0,"",VLOOKUP(A20,'Species List'!$A:$G,3,FALSE))</f>
        <v>1</v>
      </c>
      <c r="D20" s="99">
        <f t="shared" si="4"/>
        <v>1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 t="str">
        <f>VLOOKUP(A20,'Species List'!$A:$G,7,FALSE)</f>
        <v>W</v>
      </c>
      <c r="J20" s="125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2.3904382470119521E-2</v>
      </c>
      <c r="O20" s="98">
        <f t="shared" si="7"/>
        <v>2.3904382470119521E-2</v>
      </c>
    </row>
    <row r="21" spans="1:15" x14ac:dyDescent="0.2">
      <c r="A21" s="124" t="s">
        <v>320</v>
      </c>
      <c r="B21" s="44" t="str">
        <f>IF(LEN(VLOOKUP(A21,'Species List'!$A:$G,2,FALSE))=0,"",VLOOKUP(A21,'Species List'!$A:$G,2,FALSE))</f>
        <v>common ragweed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25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2.3904382470119521E-2</v>
      </c>
      <c r="O21" s="98">
        <f t="shared" si="7"/>
        <v>0</v>
      </c>
    </row>
    <row r="22" spans="1:15" x14ac:dyDescent="0.2">
      <c r="A22" s="124" t="s">
        <v>2352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5</v>
      </c>
      <c r="D22" s="99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5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2.3904382470119521E-2</v>
      </c>
      <c r="O22" s="98">
        <f t="shared" si="7"/>
        <v>0.11952191235059761</v>
      </c>
    </row>
    <row r="23" spans="1:15" x14ac:dyDescent="0.2">
      <c r="A23" s="124" t="s">
        <v>1614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7</v>
      </c>
      <c r="D23" s="99">
        <f t="shared" si="4"/>
        <v>7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25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2.3904382470119521E-2</v>
      </c>
      <c r="O23" s="98">
        <f t="shared" si="7"/>
        <v>0.16733067729083664</v>
      </c>
    </row>
    <row r="24" spans="1:15" x14ac:dyDescent="0.2">
      <c r="A24" s="124" t="s">
        <v>2349</v>
      </c>
      <c r="B24" s="44" t="str">
        <f>IF(LEN(VLOOKUP(A24,'Species List'!$A:$G,2,FALSE))=0,"",VLOOKUP(A24,'Species List'!$A:$G,2,FALSE))</f>
        <v>Jerusalem artichoke</v>
      </c>
      <c r="C24" s="44">
        <f>IF(LEN(VLOOKUP(A24,'Species List'!$A:$G,3,FALSE))=0,"",VLOOKUP(A24,'Species List'!$A:$G,3,FALSE))</f>
        <v>2</v>
      </c>
      <c r="D24" s="99">
        <f t="shared" si="4"/>
        <v>2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25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2.3904382470119521E-2</v>
      </c>
      <c r="O24" s="98">
        <f t="shared" si="7"/>
        <v>4.7808764940239043E-2</v>
      </c>
    </row>
    <row r="25" spans="1:15" x14ac:dyDescent="0.2">
      <c r="A25" s="124" t="s">
        <v>3209</v>
      </c>
      <c r="B25" s="44" t="str">
        <f>IF(LEN(VLOOKUP(A25,'Species List'!$A:$G,2,FALSE))=0,"",VLOOKUP(A25,'Species List'!$A:$G,2,FALSE))</f>
        <v>wild quinine</v>
      </c>
      <c r="C25" s="44">
        <f>IF(LEN(VLOOKUP(A25,'Species List'!$A:$G,3,FALSE))=0,"",VLOOKUP(A25,'Species List'!$A:$G,3,FALSE))</f>
        <v>8</v>
      </c>
      <c r="D25" s="99">
        <f t="shared" si="4"/>
        <v>8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 t="str">
        <f>VLOOKUP(A25,'Species List'!$A:$G,7,FALSE)</f>
        <v>E</v>
      </c>
      <c r="J25" s="125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2.3904382470119521E-2</v>
      </c>
      <c r="O25" s="98">
        <f t="shared" si="7"/>
        <v>0.19123505976095617</v>
      </c>
    </row>
    <row r="26" spans="1:15" x14ac:dyDescent="0.2">
      <c r="A26" s="124" t="s">
        <v>4237</v>
      </c>
      <c r="B26" s="44" t="str">
        <f>IF(LEN(VLOOKUP(A26,'Species List'!$A:$G,2,FALSE))=0,"",VLOOKUP(A26,'Species List'!$A:$G,2,FALSE))</f>
        <v>stiff goldenrod</v>
      </c>
      <c r="C26" s="44">
        <f>IF(LEN(VLOOKUP(A26,'Species List'!$A:$G,3,FALSE))=0,"",VLOOKUP(A26,'Species List'!$A:$G,3,FALSE))</f>
        <v>5</v>
      </c>
      <c r="D26" s="99">
        <f t="shared" si="4"/>
        <v>5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25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2.3904382470119521E-2</v>
      </c>
      <c r="O26" s="98">
        <f t="shared" si="7"/>
        <v>0.11952191235059761</v>
      </c>
    </row>
    <row r="27" spans="1:15" x14ac:dyDescent="0.2">
      <c r="A27" s="124" t="s">
        <v>551</v>
      </c>
      <c r="B27" s="44" t="str">
        <f>IF(LEN(VLOOKUP(A27,'Species List'!$A:$G,2,FALSE))=0,"",VLOOKUP(A27,'Species List'!$A:$G,2,FALSE))</f>
        <v>common milkweed</v>
      </c>
      <c r="C27" s="44">
        <f>IF(LEN(VLOOKUP(A27,'Species List'!$A:$G,3,FALSE))=0,"",VLOOKUP(A27,'Species List'!$A:$G,3,FALSE))</f>
        <v>1</v>
      </c>
      <c r="D27" s="99">
        <f t="shared" si="4"/>
        <v>1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5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2.3904382470119521E-2</v>
      </c>
      <c r="O27" s="98">
        <f t="shared" si="7"/>
        <v>2.3904382470119521E-2</v>
      </c>
    </row>
    <row r="28" spans="1:15" x14ac:dyDescent="0.2">
      <c r="A28" s="124" t="s">
        <v>4554</v>
      </c>
      <c r="B28" s="44" t="str">
        <f>IF(LEN(VLOOKUP(A28,'Species List'!$A:$G,2,FALSE))=0,"",VLOOKUP(A28,'Species List'!$A:$G,2,FALSE))</f>
        <v>red clover</v>
      </c>
      <c r="C28" s="44">
        <f>IF(LEN(VLOOKUP(A28,'Species List'!$A:$G,3,FALSE))=0,"",VLOOKUP(A28,'Species List'!$A:$G,3,FALSE))</f>
        <v>0</v>
      </c>
      <c r="D28" s="99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FACU+</v>
      </c>
      <c r="H28" s="44">
        <f>VLOOKUP(A28,'Species List'!$A:$G,7,FALSE)</f>
        <v>0</v>
      </c>
      <c r="J28" s="125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2.3904382470119521E-2</v>
      </c>
      <c r="O28" s="98">
        <f t="shared" si="7"/>
        <v>0</v>
      </c>
    </row>
    <row r="29" spans="1:15" x14ac:dyDescent="0.2">
      <c r="A29" s="126" t="s">
        <v>3887</v>
      </c>
      <c r="B29" s="44" t="str">
        <f>IF(LEN(VLOOKUP(A29,'Species List'!$A:$G,2,FALSE))=0,"",VLOOKUP(A29,'Species List'!$A:$G,2,FALSE))</f>
        <v>three-leaved coneflower</v>
      </c>
      <c r="C29" s="44">
        <f>IF(LEN(VLOOKUP(A29,'Species List'!$A:$G,3,FALSE))=0,"",VLOOKUP(A29,'Species List'!$A:$G,3,FALSE))</f>
        <v>4</v>
      </c>
      <c r="D29" s="99">
        <f t="shared" si="4"/>
        <v>4</v>
      </c>
      <c r="E29" s="44" t="str">
        <f>IF(LEN(VLOOKUP(A29,'Species List'!$A:$G,4,FALSE))=0,"",VLOOKUP(A29,'Species List'!$A:$G,4,FALSE))</f>
        <v/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5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2.3904382470119521E-2</v>
      </c>
      <c r="O29" s="98">
        <f t="shared" si="7"/>
        <v>9.5617529880478086E-2</v>
      </c>
    </row>
    <row r="30" spans="1:15" x14ac:dyDescent="0.2">
      <c r="A30" s="124" t="s">
        <v>4166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4</v>
      </c>
      <c r="D30" s="99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</v>
      </c>
      <c r="H30" s="44">
        <f>VLOOKUP(A30,'Species List'!$A:$G,7,FALSE)</f>
        <v>0</v>
      </c>
      <c r="J30" s="125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2.3904382470119521E-2</v>
      </c>
      <c r="O30" s="98">
        <f t="shared" si="7"/>
        <v>9.5617529880478086E-2</v>
      </c>
    </row>
    <row r="31" spans="1:15" x14ac:dyDescent="0.2">
      <c r="A31" s="124" t="s">
        <v>4424</v>
      </c>
      <c r="B31" s="44" t="str">
        <f>IF(LEN(VLOOKUP(A31,'Species List'!$A:$G,2,FALSE))=0,"",VLOOKUP(A31,'Species List'!$A:$G,2,FALSE))</f>
        <v>New England aster</v>
      </c>
      <c r="C31" s="44">
        <f>IF(LEN(VLOOKUP(A31,'Species List'!$A:$G,3,FALSE))=0,"",VLOOKUP(A31,'Species List'!$A:$G,3,FALSE))</f>
        <v>3</v>
      </c>
      <c r="D31" s="99">
        <f t="shared" si="4"/>
        <v>3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[FACW]</v>
      </c>
      <c r="H31" s="44">
        <f>VLOOKUP(A31,'Species List'!$A:$G,7,FALSE)</f>
        <v>0</v>
      </c>
      <c r="J31" s="125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2.3904382470119521E-2</v>
      </c>
      <c r="O31" s="98">
        <f t="shared" si="7"/>
        <v>7.1713147410358558E-2</v>
      </c>
    </row>
    <row r="32" spans="1:15" x14ac:dyDescent="0.2">
      <c r="A32" s="124" t="s">
        <v>2048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4</v>
      </c>
      <c r="D32" s="99">
        <f t="shared" si="4"/>
        <v>4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25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2.3904382470119521E-2</v>
      </c>
      <c r="O32" s="98">
        <f t="shared" si="7"/>
        <v>9.5617529880478086E-2</v>
      </c>
    </row>
    <row r="33" spans="1:15" x14ac:dyDescent="0.2">
      <c r="A33" s="124" t="s">
        <v>2021</v>
      </c>
      <c r="B33" s="44" t="str">
        <f>IF(LEN(VLOOKUP(A33,'Species List'!$A:$G,2,FALSE))=0,"",VLOOKUP(A33,'Species List'!$A:$G,2,FALSE))</f>
        <v>rattlesnake master</v>
      </c>
      <c r="C33" s="44">
        <f>IF(LEN(VLOOKUP(A33,'Species List'!$A:$G,3,FALSE))=0,"",VLOOKUP(A33,'Species List'!$A:$G,3,FALSE))</f>
        <v>9</v>
      </c>
      <c r="D33" s="99">
        <f t="shared" si="4"/>
        <v>9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[FAC+]</v>
      </c>
      <c r="H33" s="44" t="str">
        <f>VLOOKUP(A33,'Species List'!$A:$G,7,FALSE)</f>
        <v>SC</v>
      </c>
      <c r="J33" s="125" t="s">
        <v>5409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100">
        <f t="shared" si="5"/>
        <v>0.5</v>
      </c>
      <c r="N33" s="98">
        <f t="shared" si="6"/>
        <v>3.9840637450199202E-3</v>
      </c>
      <c r="O33" s="98">
        <f t="shared" si="7"/>
        <v>3.5856573705179279E-2</v>
      </c>
    </row>
    <row r="34" spans="1:15" x14ac:dyDescent="0.2">
      <c r="A34" s="124" t="s">
        <v>3671</v>
      </c>
      <c r="B34" s="44" t="str">
        <f>IF(LEN(VLOOKUP(A34,'Species List'!$A:$G,2,FALSE))=0,"",VLOOKUP(A34,'Species List'!$A:$G,2,FALSE))</f>
        <v>Virginia mountain mint</v>
      </c>
      <c r="C34" s="44">
        <f>IF(LEN(VLOOKUP(A34,'Species List'!$A:$G,3,FALSE))=0,"",VLOOKUP(A34,'Species List'!$A:$G,3,FALSE))</f>
        <v>6</v>
      </c>
      <c r="D34" s="99">
        <f t="shared" si="4"/>
        <v>6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FACW+</v>
      </c>
      <c r="H34" s="44">
        <f>VLOOKUP(A34,'Species List'!$A:$G,7,FALSE)</f>
        <v>0</v>
      </c>
      <c r="J34" s="125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2.3904382470119521E-2</v>
      </c>
      <c r="O34" s="98">
        <f t="shared" si="7"/>
        <v>0.14342629482071712</v>
      </c>
    </row>
    <row r="35" spans="1:15" x14ac:dyDescent="0.2">
      <c r="A35" s="124" t="s">
        <v>4409</v>
      </c>
      <c r="B35" s="44" t="str">
        <f>IF(LEN(VLOOKUP(A35,'Species List'!$A:$G,2,FALSE))=0,"",VLOOKUP(A35,'Species List'!$A:$G,2,FALSE))</f>
        <v>smooth blue aster</v>
      </c>
      <c r="C35" s="44">
        <f>IF(LEN(VLOOKUP(A35,'Species List'!$A:$G,3,FALSE))=0,"",VLOOKUP(A35,'Species List'!$A:$G,3,FALSE))</f>
        <v>6</v>
      </c>
      <c r="D35" s="99">
        <f t="shared" si="4"/>
        <v>6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</v>
      </c>
      <c r="H35" s="44">
        <f>VLOOKUP(A35,'Species List'!$A:$G,7,FALSE)</f>
        <v>0</v>
      </c>
      <c r="J35" s="125" t="s">
        <v>5409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100">
        <f t="shared" si="5"/>
        <v>0.5</v>
      </c>
      <c r="N35" s="98">
        <f t="shared" si="6"/>
        <v>3.9840637450199202E-3</v>
      </c>
      <c r="O35" s="98">
        <f t="shared" si="7"/>
        <v>2.3904382470119521E-2</v>
      </c>
    </row>
    <row r="36" spans="1:15" x14ac:dyDescent="0.2">
      <c r="A36" s="124" t="s">
        <v>4219</v>
      </c>
      <c r="B36" s="44" t="str">
        <f>IF(LEN(VLOOKUP(A36,'Species List'!$A:$G,2,FALSE))=0,"",VLOOKUP(A36,'Species List'!$A:$G,2,FALSE))</f>
        <v>giant goldenrod</v>
      </c>
      <c r="C36" s="44">
        <f>IF(LEN(VLOOKUP(A36,'Species List'!$A:$G,3,FALSE))=0,"",VLOOKUP(A36,'Species List'!$A:$G,3,FALSE))</f>
        <v>3</v>
      </c>
      <c r="D36" s="99">
        <f t="shared" si="4"/>
        <v>3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</v>
      </c>
      <c r="H36" s="44">
        <f>VLOOKUP(A36,'Species List'!$A:$G,7,FALSE)</f>
        <v>0</v>
      </c>
      <c r="J36" s="125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2.3904382470119521E-2</v>
      </c>
      <c r="O36" s="98">
        <f t="shared" si="7"/>
        <v>7.1713147410358558E-2</v>
      </c>
    </row>
    <row r="37" spans="1:15" x14ac:dyDescent="0.2">
      <c r="A37" s="124" t="s">
        <v>4165</v>
      </c>
      <c r="B37" s="44" t="str">
        <f>IF(LEN(VLOOKUP(A37,'Species List'!$A:$G,2,FALSE))=0,"",VLOOKUP(A37,'Species List'!$A:$G,2,FALSE))</f>
        <v>compass plant</v>
      </c>
      <c r="C37" s="44">
        <f>IF(LEN(VLOOKUP(A37,'Species List'!$A:$G,3,FALSE))=0,"",VLOOKUP(A37,'Species List'!$A:$G,3,FALSE))</f>
        <v>8</v>
      </c>
      <c r="D37" s="99">
        <f t="shared" si="4"/>
        <v>8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25" t="s">
        <v>5409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100">
        <f t="shared" si="5"/>
        <v>0.5</v>
      </c>
      <c r="N37" s="98">
        <f t="shared" si="6"/>
        <v>3.9840637450199202E-3</v>
      </c>
      <c r="O37" s="98">
        <f t="shared" si="7"/>
        <v>3.1872509960159362E-2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50" t="s">
        <v>5376</v>
      </c>
      <c r="J153" s="151"/>
      <c r="K153" s="152"/>
      <c r="L153" s="63">
        <f>SUMIF(L12:L152,"&gt;=0")</f>
        <v>125.5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9"/>
      <c r="C7" s="149"/>
      <c r="D7" s="149"/>
      <c r="E7" s="149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7" customFormat="1" ht="14.25" thickTop="1" thickBot="1" x14ac:dyDescent="0.25">
      <c r="A10" s="45" t="s">
        <v>5444</v>
      </c>
      <c r="B10" s="154"/>
      <c r="C10" s="154"/>
      <c r="D10" s="154"/>
      <c r="E10" s="154"/>
      <c r="F10" s="154"/>
      <c r="G10" s="154"/>
      <c r="H10" s="154"/>
      <c r="I10" s="155"/>
      <c r="J10" s="154"/>
      <c r="K10" s="154"/>
      <c r="L10" s="154"/>
      <c r="M10" s="154"/>
      <c r="N10" s="156"/>
      <c r="O10" s="156"/>
    </row>
    <row r="11" spans="1:15" s="127" customFormat="1" ht="13.5" thickTop="1" x14ac:dyDescent="0.2">
      <c r="A11" s="154"/>
      <c r="B11" s="154"/>
      <c r="C11" s="154"/>
      <c r="D11" s="154"/>
      <c r="E11" s="154"/>
      <c r="F11" s="154"/>
      <c r="G11" s="154"/>
      <c r="H11" s="154"/>
      <c r="I11" s="155"/>
      <c r="J11" s="154"/>
      <c r="K11" s="154"/>
      <c r="L11" s="154"/>
      <c r="M11" s="154"/>
      <c r="N11" s="156"/>
      <c r="O11" s="156"/>
    </row>
    <row r="12" spans="1:15" x14ac:dyDescent="0.2">
      <c r="A12" s="124" t="s">
        <v>373</v>
      </c>
      <c r="B12" s="44" t="str">
        <f>IF(LEN(VLOOKUP(A12,'Species List'!$A:$G,2,FALSE))=0,"",VLOOKUP(A12,'Species List'!$A:$G,2,FALSE))</f>
        <v>big bluestem</v>
      </c>
      <c r="C12" s="44">
        <f>IF(LEN(VLOOKUP(A12,'Species List'!$A:$G,3,FALSE))=0,"",VLOOKUP(A12,'Species List'!$A:$G,3,FALSE))</f>
        <v>4</v>
      </c>
      <c r="D12" s="99">
        <f t="shared" ref="D12:D20" si="0">VALUE(C12)</f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125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78" si="1">VALUE(L12)</f>
        <v>37.5</v>
      </c>
      <c r="N12" s="110">
        <f t="shared" ref="N12:N77" si="2">L12/$L$153</f>
        <v>0.352112676056338</v>
      </c>
      <c r="O12" s="110">
        <f t="shared" ref="O12:O78" si="3">D12*N12</f>
        <v>1.408450704225352</v>
      </c>
    </row>
    <row r="13" spans="1:15" x14ac:dyDescent="0.2">
      <c r="A13" s="124" t="s">
        <v>4270</v>
      </c>
      <c r="B13" s="44" t="str">
        <f>IF(LEN(VLOOKUP(A13,'Species List'!$A:$G,2,FALSE))=0,"",VLOOKUP(A13,'Species List'!$A:$G,2,FALSE))</f>
        <v>Indian grass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FACU+</v>
      </c>
      <c r="H13" s="44">
        <f>VLOOKUP(A13,'Species List'!$A:$G,7,FALSE)</f>
        <v>0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2.8169014084507043E-2</v>
      </c>
      <c r="O13" s="110">
        <f t="shared" si="3"/>
        <v>0.14084507042253522</v>
      </c>
    </row>
    <row r="14" spans="1:15" x14ac:dyDescent="0.2">
      <c r="A14" s="124" t="s">
        <v>3196</v>
      </c>
      <c r="B14" s="44" t="str">
        <f>IF(LEN(VLOOKUP(A14,'Species List'!$A:$G,2,FALSE))=0,"",VLOOKUP(A14,'Species List'!$A:$G,2,FALSE))</f>
        <v>switchgrass</v>
      </c>
      <c r="C14" s="44">
        <f>IF(LEN(VLOOKUP(A14,'Species List'!$A:$G,3,FALSE))=0,"",VLOOKUP(A14,'Species List'!$A:$G,3,FALSE))</f>
        <v>2</v>
      </c>
      <c r="D14" s="99">
        <f t="shared" si="0"/>
        <v>2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[FAC+]</v>
      </c>
      <c r="H14" s="44">
        <f>VLOOKUP(A14,'Species List'!$A:$G,7,FALSE)</f>
        <v>0</v>
      </c>
      <c r="J14" s="125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109">
        <f t="shared" si="2"/>
        <v>0.14084507042253522</v>
      </c>
      <c r="O14" s="109">
        <f t="shared" si="3"/>
        <v>0.28169014084507044</v>
      </c>
    </row>
    <row r="15" spans="1:15" x14ac:dyDescent="0.2">
      <c r="A15" s="124" t="s">
        <v>3443</v>
      </c>
      <c r="B15" s="44" t="str">
        <f>IF(LEN(VLOOKUP(A15,'Species List'!$A:$G,2,FALSE))=0,"",VLOOKUP(A15,'Species List'!$A:$G,2,FALSE))</f>
        <v>Kentucky bluegrass</v>
      </c>
      <c r="C15" s="44">
        <f>IF(LEN(VLOOKUP(A15,'Species List'!$A:$G,3,FALSE))=0,"",VLOOKUP(A15,'Species List'!$A:$G,3,FALSE))</f>
        <v>0</v>
      </c>
      <c r="D15" s="99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5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si="1"/>
        <v>15</v>
      </c>
      <c r="N15" s="98">
        <f t="shared" si="2"/>
        <v>0.14084507042253522</v>
      </c>
      <c r="O15" s="98">
        <f t="shared" si="3"/>
        <v>0</v>
      </c>
    </row>
    <row r="16" spans="1:15" x14ac:dyDescent="0.2">
      <c r="A16" s="124" t="s">
        <v>756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6</v>
      </c>
      <c r="D16" s="99">
        <f t="shared" si="0"/>
        <v>6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5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1"/>
        <v>15</v>
      </c>
      <c r="N16" s="98">
        <f t="shared" si="2"/>
        <v>0.14084507042253522</v>
      </c>
      <c r="O16" s="98">
        <f t="shared" si="3"/>
        <v>0.84507042253521125</v>
      </c>
    </row>
    <row r="17" spans="1:15" x14ac:dyDescent="0.2">
      <c r="A17" s="124" t="s">
        <v>4032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5</v>
      </c>
      <c r="D17" s="99">
        <f t="shared" si="0"/>
        <v>5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[FACU-]</v>
      </c>
      <c r="H17" s="44">
        <f>VLOOKUP(A17,'Species List'!$A:$G,7,FALSE)</f>
        <v>0</v>
      </c>
      <c r="J17" s="125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1"/>
        <v>15</v>
      </c>
      <c r="N17" s="98">
        <f t="shared" si="2"/>
        <v>0.14084507042253522</v>
      </c>
      <c r="O17" s="98">
        <f t="shared" si="3"/>
        <v>0.70422535211267612</v>
      </c>
    </row>
    <row r="18" spans="1:15" x14ac:dyDescent="0.2">
      <c r="A18" s="124" t="s">
        <v>1882</v>
      </c>
      <c r="B18" s="44" t="str">
        <f>IF(LEN(VLOOKUP(A18,'Species List'!$A:$G,2,FALSE))=0,"",VLOOKUP(A18,'Species List'!$A:$G,2,FALSE))</f>
        <v>quackgrass</v>
      </c>
      <c r="C18" s="44">
        <f>IF(LEN(VLOOKUP(A18,'Species List'!$A:$G,3,FALSE))=0,"",VLOOKUP(A18,'Species List'!$A:$G,3,FALSE))</f>
        <v>0</v>
      </c>
      <c r="D18" s="99">
        <f t="shared" si="0"/>
        <v>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[FACU]</v>
      </c>
      <c r="H18" s="44">
        <f>VLOOKUP(A18,'Species List'!$A:$G,7,FALSE)</f>
        <v>0</v>
      </c>
      <c r="J18" s="125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1"/>
        <v>3</v>
      </c>
      <c r="N18" s="98">
        <f t="shared" si="2"/>
        <v>2.8169014084507043E-2</v>
      </c>
      <c r="O18" s="98">
        <f t="shared" si="3"/>
        <v>0</v>
      </c>
    </row>
    <row r="19" spans="1:15" x14ac:dyDescent="0.2">
      <c r="A19" s="124" t="s">
        <v>4116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99">
        <f t="shared" si="0"/>
        <v>0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25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1"/>
        <v>3</v>
      </c>
      <c r="N19" s="98">
        <f t="shared" si="2"/>
        <v>2.8169014084507043E-2</v>
      </c>
      <c r="O19" s="98">
        <f t="shared" si="3"/>
        <v>0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8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50" t="s">
        <v>5376</v>
      </c>
      <c r="J153" s="151"/>
      <c r="K153" s="152"/>
      <c r="L153" s="63">
        <f>SUMIF(L12:L152,"&gt;=0")</f>
        <v>106.5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3" t="s">
        <v>4837</v>
      </c>
      <c r="B1" s="153"/>
      <c r="C1" s="153"/>
      <c r="D1" s="153"/>
      <c r="E1" s="153"/>
      <c r="F1" s="153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2</v>
      </c>
      <c r="C4" s="102">
        <f>COUNTIF(Forbs!$F$12:$F$150,"Native")</f>
        <v>24</v>
      </c>
      <c r="D4" s="102">
        <f>COUNTIF(Grasses!$F$12:$F$151,"Native")</f>
        <v>5</v>
      </c>
      <c r="E4" s="102">
        <f>AVERAGE(B4:D4)</f>
        <v>10.333333333333334</v>
      </c>
      <c r="F4" s="102">
        <f>SUM(B4:D4)</f>
        <v>31</v>
      </c>
    </row>
    <row r="5" spans="1:6" ht="18" x14ac:dyDescent="0.25">
      <c r="A5" s="53" t="s">
        <v>4842</v>
      </c>
      <c r="B5" s="102">
        <f>COUNTIF(Woody!$F12:$F201,"Introduced")</f>
        <v>0</v>
      </c>
      <c r="C5" s="102">
        <f>COUNTIF(Forbs!$F12:$F201,"Introduced")</f>
        <v>1</v>
      </c>
      <c r="D5" s="102">
        <f>COUNTIF(Grasses!$F12:$F201,"Introduced")</f>
        <v>3</v>
      </c>
      <c r="E5" s="102">
        <f t="shared" ref="E5:E6" si="0">AVERAGE(B5:D5)</f>
        <v>1.3333333333333333</v>
      </c>
      <c r="F5" s="102">
        <f>SUM(B5:D5)</f>
        <v>4</v>
      </c>
    </row>
    <row r="6" spans="1:6" s="81" customFormat="1" ht="21" x14ac:dyDescent="0.35">
      <c r="A6" s="53" t="s">
        <v>5411</v>
      </c>
      <c r="B6" s="102">
        <f>SUM(B4:B5)</f>
        <v>2</v>
      </c>
      <c r="C6" s="102">
        <f>SUM(C4:C5)</f>
        <v>25</v>
      </c>
      <c r="D6" s="102">
        <f>SUM(D4:D5)</f>
        <v>8</v>
      </c>
      <c r="E6" s="102">
        <f t="shared" si="0"/>
        <v>11.666666666666666</v>
      </c>
      <c r="F6" s="102">
        <f>SUM(B6:D6)</f>
        <v>35</v>
      </c>
    </row>
    <row r="7" spans="1:6" ht="18" x14ac:dyDescent="0.25">
      <c r="A7" s="53" t="s">
        <v>4843</v>
      </c>
      <c r="B7" s="102">
        <f>AVERAGEIF(Woody!D12:D152,"&gt;0")</f>
        <v>1.5</v>
      </c>
      <c r="C7" s="102">
        <f>AVERAGEIF(Forbs!D12:D152,"&gt;0")</f>
        <v>4.6086956521739131</v>
      </c>
      <c r="D7" s="102">
        <f>AVERAGEIF(Grasses!D12:D152,"&gt;0")</f>
        <v>4.4000000000000004</v>
      </c>
      <c r="E7" s="102">
        <f>AVERAGE(B7:D7)</f>
        <v>3.5028985507246375</v>
      </c>
      <c r="F7" s="102">
        <f>(SUMIF(Woody!D12:D152,"&gt;0")+SUMIF(Forbs!D12:D152,"&gt;0")+SUMIF(Grasses!D12:D152,"&gt;0"))/(COUNTIF(Woody!D12:D152,"&gt;0")+COUNTIF(Forbs!D12:D152,"&gt;0")+COUNTIF(Grasses!D12:D152,"&gt;0"))</f>
        <v>4.3666666666666663</v>
      </c>
    </row>
    <row r="8" spans="1:6" s="31" customFormat="1" ht="21" x14ac:dyDescent="0.35">
      <c r="A8" s="53" t="s">
        <v>5412</v>
      </c>
      <c r="B8" s="102">
        <f>AVERAGEIF(Woody!D12:D152,"&gt;=0")</f>
        <v>1.5</v>
      </c>
      <c r="C8" s="102">
        <f>AVERAGEIF(Forbs!D12:D152,"&gt;=0")</f>
        <v>4.24</v>
      </c>
      <c r="D8" s="102">
        <f>AVERAGEIF(Grasses!D12:D152,"&gt;=0")</f>
        <v>2.75</v>
      </c>
      <c r="E8" s="102">
        <f>AVERAGE(B8:D8)</f>
        <v>2.83</v>
      </c>
      <c r="F8" s="102">
        <f>(SUMIF(Woody!D12:D152,"&gt;=0")+SUMIF(Forbs!D12:D152,"&gt;=0")+SUMIF(Grasses!D12:D152,"&gt;=0"))/(COUNTIF(Woody!D12:D152,"&gt;=0")+COUNTIF(Forbs!D12:D152,"&gt;=0")+COUNTIF(Grasses!D12:D152,"&gt;=0"))</f>
        <v>3.7428571428571429</v>
      </c>
    </row>
    <row r="9" spans="1:6" ht="18" x14ac:dyDescent="0.25">
      <c r="A9" s="53" t="s">
        <v>4836</v>
      </c>
      <c r="B9" s="102">
        <f>SQRT(B4)*B7</f>
        <v>2.1213203435596428</v>
      </c>
      <c r="C9" s="102">
        <f>SQRT(C4)*C7</f>
        <v>22.577905455218858</v>
      </c>
      <c r="D9" s="102">
        <f>SQRT(D4)*D7</f>
        <v>9.8386991009990759</v>
      </c>
      <c r="E9" s="102">
        <f>SQRT(E4)*E7</f>
        <v>11.260243424792257</v>
      </c>
      <c r="F9" s="102">
        <f>SQRT(F4)*F7</f>
        <v>24.312571051024424</v>
      </c>
    </row>
    <row r="10" spans="1:6" s="82" customFormat="1" ht="21" x14ac:dyDescent="0.35">
      <c r="A10" s="53" t="s">
        <v>5413</v>
      </c>
      <c r="B10" s="102">
        <f>SQRT(B6)*B8</f>
        <v>2.1213203435596428</v>
      </c>
      <c r="C10" s="102">
        <f>SQRT(C6)*C8</f>
        <v>21.200000000000003</v>
      </c>
      <c r="D10" s="102">
        <f>SQRT(D6)*D8</f>
        <v>7.7781745930520234</v>
      </c>
      <c r="E10" s="102">
        <f>SQRT(E6)*E8</f>
        <v>9.6662902225552205</v>
      </c>
      <c r="F10" s="102">
        <f>SQRT(F6)*F8</f>
        <v>22.143041473887134</v>
      </c>
    </row>
    <row r="11" spans="1:6" ht="18" x14ac:dyDescent="0.25">
      <c r="A11" s="53" t="s">
        <v>4844</v>
      </c>
      <c r="B11" s="102">
        <f>SUMIF(Woody!$M$12:$M$152,"&gt;=0")</f>
        <v>6</v>
      </c>
      <c r="C11" s="102">
        <f>SUMIF(Forbs!$M$12:$M$153,"&gt;=0")</f>
        <v>125.5</v>
      </c>
      <c r="D11" s="102">
        <f>SUMIF(Grasses!$M$12:$M$152,"&gt;=0")</f>
        <v>106.5</v>
      </c>
      <c r="E11" s="102">
        <f>AVERAGE(B11:D11)</f>
        <v>79.333333333333329</v>
      </c>
      <c r="F11" s="102">
        <f>SUM(B11:D11)</f>
        <v>238</v>
      </c>
    </row>
    <row r="12" spans="1:6" ht="18" x14ac:dyDescent="0.25">
      <c r="A12" s="53" t="s">
        <v>5377</v>
      </c>
      <c r="B12" s="102">
        <f>SUMIF(Woody!$F$12:$F$152,"Introduced",Woody!$L$12:$L$152)</f>
        <v>0</v>
      </c>
      <c r="C12" s="102">
        <f>SUMIF(Forbs!$F$12:$F$153,"Introduced",Forbs!$L$12:$L$153)</f>
        <v>3</v>
      </c>
      <c r="D12" s="102">
        <f>SUMIF(Grasses!$F$12:$F$152,"Introduced",Grasses!$L$12:$L$152)</f>
        <v>21</v>
      </c>
      <c r="E12" s="102">
        <f>AVERAGE(B12:D12)</f>
        <v>8</v>
      </c>
      <c r="F12" s="102">
        <f>SUM(B12:D12)</f>
        <v>24</v>
      </c>
    </row>
    <row r="13" spans="1:6" ht="18.75" thickBot="1" x14ac:dyDescent="0.3">
      <c r="A13" s="54" t="s">
        <v>4845</v>
      </c>
      <c r="B13" s="103">
        <f>B12/B11</f>
        <v>0</v>
      </c>
      <c r="C13" s="103">
        <f>C12/C11</f>
        <v>2.3904382470119521E-2</v>
      </c>
      <c r="D13" s="103">
        <f>D12/D11</f>
        <v>0.19718309859154928</v>
      </c>
      <c r="E13" s="103">
        <f>E12/E11</f>
        <v>0.10084033613445378</v>
      </c>
      <c r="F13" s="103">
        <f>F12/F11</f>
        <v>0.10084033613445378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1.5</v>
      </c>
      <c r="C15" s="101">
        <f>SUMIF(Forbs!$O$12:$O$152,"&gt;=0")</f>
        <v>3.9043824701195211</v>
      </c>
      <c r="D15" s="101">
        <f>SUMIF(Grasses!$O$12:$O$152,"&gt;=0")</f>
        <v>3.380281690140845</v>
      </c>
      <c r="E15" s="101">
        <f>AVERAGE(B15:D15)</f>
        <v>2.9282213867534552</v>
      </c>
      <c r="F15" s="102">
        <f>SUM(B15:D15)</f>
        <v>8.7846641602603661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2023-01-27T17:47:05Z</dcterms:modified>
</cp:coreProperties>
</file>