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849315A5-CA58-478D-A8F9-CB2500D70B2B}" xr6:coauthVersionLast="45" xr6:coauthVersionMax="45" xr10:uidLastSave="{00000000-0000-0000-0000-000000000000}"/>
  <bookViews>
    <workbookView xWindow="19080" yWindow="-120" windowWidth="19440" windowHeight="15000" tabRatio="938" firstSheet="3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12" i="7" l="1"/>
  <c r="E12" i="7" s="1"/>
  <c r="D6" i="7"/>
  <c r="D9" i="7"/>
  <c r="E4" i="7"/>
  <c r="E9" i="7" s="1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4" i="7"/>
  <c r="F5" i="7"/>
  <c r="L153" i="6"/>
  <c r="F12" i="7" l="1"/>
  <c r="N12" i="6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<sst xmlns="http://schemas.openxmlformats.org/spreadsheetml/2006/main" count="13158" uniqueCount="5449">
  <si>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</si>
  <si>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</si>
  <si>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</si>
  <si>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</si>
  <si>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</si>
  <si>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</si>
  <si>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</si>
  <si>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</si>
  <si>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</si>
  <si>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</si>
  <si>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</si>
  <si>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</si>
  <si>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</si>
  <si>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</si>
  <si>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</si>
  <si>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</si>
  <si>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</si>
  <si>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</si>
  <si>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</si>
  <si>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</si>
  <si>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</si>
  <si>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</si>
  <si>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</si>
  <si>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</si>
  <si>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</si>
  <si>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</si>
  <si>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</si>
  <si>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</si>
  <si>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</si>
  <si>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</si>
  <si>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</si>
  <si>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</si>
  <si>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</si>
  <si>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</si>
  <si>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</si>
  <si>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</si>
  <si>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</si>
  <si>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</si>
  <si>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</si>
  <si>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</si>
  <si>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</si>
  <si>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</si>
  <si>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</si>
  <si>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</si>
  <si>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</si>
  <si>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</si>
  <si>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</si>
  <si>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</si>
  <si>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</si>
  <si>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</si>
  <si>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</si>
  <si>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</si>
  <si>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</si>
  <si>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</si>
  <si>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</si>
  <si>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</si>
  <si>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</si>
  <si>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</si>
  <si>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</si>
  <si>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</si>
  <si>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</si>
  <si>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</si>
  <si>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</si>
  <si>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</si>
  <si>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</si>
  <si>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</si>
  <si>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</si>
  <si>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</si>
  <si>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</si>
  <si>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</si>
  <si>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</si>
  <si>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</si>
  <si>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</si>
  <si>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</si>
  <si>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</si>
  <si>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</si>
  <si>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</si>
  <si>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</si>
  <si>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</si>
  <si>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</si>
  <si>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</si>
  <si>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</si>
  <si>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</si>
  <si>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</si>
  <si>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</si>
  <si>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</si>
  <si>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</si>
  <si>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</si>
  <si>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</si>
  <si>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</si>
  <si>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</si>
  <si>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</si>
  <si>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</si>
  <si>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</si>
  <si>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</si>
  <si>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</si>
  <si>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</si>
  <si>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</si>
  <si>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</si>
  <si>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</si>
  <si>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</si>
  <si>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</si>
  <si>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</si>
  <si>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</si>
  <si>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</si>
  <si>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</si>
  <si>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</si>
  <si>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</si>
  <si>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</si>
  <si>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</si>
  <si>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</si>
  <si>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</si>
  <si>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</si>
  <si>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</si>
  <si>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</si>
  <si>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</si>
  <si>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</si>
  <si>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</si>
  <si>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</si>
  <si>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</si>
  <si>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</si>
  <si>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</si>
  <si>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</si>
  <si>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</si>
  <si>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</si>
  <si>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</si>
  <si>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</si>
  <si>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</si>
  <si>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</si>
  <si>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</si>
  <si>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</si>
  <si>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</si>
  <si>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</si>
  <si>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</si>
  <si>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</si>
  <si>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</si>
  <si>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</si>
  <si>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</si>
  <si>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</si>
  <si>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</si>
  <si>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</si>
  <si>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</si>
  <si>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</si>
  <si>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</si>
  <si>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</si>
  <si>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</si>
  <si>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</si>
  <si>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</si>
  <si>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</si>
  <si>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</si>
  <si>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</si>
  <si>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</si>
  <si>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</si>
  <si>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</si>
  <si>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</si>
  <si>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</si>
  <si>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</si>
  <si>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</si>
  <si>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</si>
  <si>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</si>
  <si>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</si>
  <si>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</si>
  <si>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</si>
  <si>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</si>
  <si>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</si>
  <si>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</si>
  <si>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</si>
  <si>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</si>
  <si>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</si>
  <si>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</si>
  <si>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</si>
  <si>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</si>
  <si>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</si>
  <si>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</si>
  <si>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</si>
  <si>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</si>
  <si>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</si>
  <si>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</si>
  <si>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</si>
  <si>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</si>
  <si>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</si>
  <si>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</si>
  <si>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</si>
  <si>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</si>
  <si>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</si>
  <si>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</si>
  <si>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</si>
  <si>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</si>
  <si>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</si>
  <si>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</si>
  <si>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</si>
  <si>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</si>
  <si>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</si>
  <si>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</si>
  <si>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</si>
  <si>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</si>
  <si>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</si>
  <si>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</si>
  <si>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</si>
  <si>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</si>
  <si>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</si>
  <si>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</si>
  <si>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</si>
  <si>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</si>
  <si>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</si>
  <si>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</si>
  <si>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</si>
  <si>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</si>
  <si>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</si>
  <si>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</si>
  <si>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</si>
  <si>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</si>
  <si>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</si>
  <si>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</si>
  <si>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</si>
  <si>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</si>
  <si>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</si>
  <si>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</si>
  <si>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</si>
  <si>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</si>
  <si>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</si>
  <si>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</si>
  <si>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</si>
  <si>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</si>
  <si>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</si>
  <si>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</si>
  <si>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</si>
  <si>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</si>
  <si>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</si>
  <si>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</si>
  <si>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</si>
  <si>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</si>
  <si>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</si>
  <si>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</si>
  <si>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</si>
  <si>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</si>
  <si>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</si>
  <si>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</si>
  <si>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</si>
  <si>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</si>
  <si>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</si>
  <si>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</si>
  <si>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</si>
  <si>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</si>
  <si>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</si>
  <si>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</si>
  <si>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</si>
  <si>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</si>
  <si>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</si>
  <si>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</si>
  <si>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</si>
  <si>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</si>
  <si>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</si>
  <si>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</si>
  <si>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</si>
  <si>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</si>
  <si>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</si>
  <si>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</si>
  <si>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</si>
  <si>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</si>
  <si>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</si>
  <si>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</si>
  <si>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</si>
  <si>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</si>
  <si>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</si>
  <si>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</si>
  <si>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</si>
  <si>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</si>
  <si>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</si>
  <si>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</si>
  <si>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</si>
  <si>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</si>
  <si>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</si>
  <si>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</si>
  <si>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</si>
  <si>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</si>
  <si>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</si>
  <si>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</si>
  <si>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</si>
  <si>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</si>
  <si>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</si>
  <si>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</si>
  <si>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</si>
  <si>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</si>
  <si>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</si>
  <si>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</si>
  <si>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</si>
  <si>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</si>
  <si>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</si>
  <si>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</si>
  <si>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</si>
  <si>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</si>
  <si>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</si>
  <si>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</si>
  <si>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</si>
  <si>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</si>
  <si>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</si>
  <si>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</si>
  <si>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</si>
  <si>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</si>
  <si>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</si>
  <si>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</si>
  <si>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</si>
  <si>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</si>
  <si>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</si>
  <si>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</si>
  <si>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</si>
  <si>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</si>
  <si>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</si>
  <si>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</si>
  <si>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</si>
  <si>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</si>
  <si>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</si>
  <si>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</si>
  <si>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</si>
  <si>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</si>
  <si>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</si>
  <si>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</si>
  <si>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</si>
  <si>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</si>
  <si>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</si>
  <si>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</si>
  <si>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</si>
  <si>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</si>
  <si>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</si>
  <si>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</si>
  <si>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</si>
  <si>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</si>
  <si>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</si>
  <si>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</si>
  <si>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</si>
  <si>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</si>
  <si>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</si>
  <si>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</si>
  <si>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</si>
  <si>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</si>
  <si>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</si>
  <si>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</si>
  <si>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</si>
  <si>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</si>
  <si>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</si>
  <si>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</si>
  <si>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</si>
  <si>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</si>
  <si>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</si>
  <si>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</si>
  <si>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</si>
  <si>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</si>
  <si>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</si>
  <si>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</si>
  <si>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</si>
  <si>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</si>
  <si>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</si>
  <si>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</si>
  <si>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</si>
  <si>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</si>
  <si>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</si>
  <si>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</si>
  <si>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</si>
  <si>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</si>
  <si>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</si>
  <si>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</si>
  <si>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</si>
  <si>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</si>
  <si>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</si>
  <si>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</si>
  <si>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</si>
  <si>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</si>
  <si>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</si>
  <si>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</si>
  <si>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</si>
  <si>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</si>
  <si>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</si>
  <si>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</si>
  <si>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</si>
  <si>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</si>
  <si>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</si>
  <si>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</si>
  <si>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</si>
  <si>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</si>
  <si>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</si>
  <si>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</si>
  <si>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</si>
  <si>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</si>
  <si>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</si>
  <si>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</si>
  <si>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</si>
  <si>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</si>
  <si>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</si>
  <si>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</si>
  <si>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</si>
  <si>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</si>
  <si>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</si>
  <si>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</si>
  <si>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</si>
  <si>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</si>
  <si>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</si>
  <si>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</si>
  <si>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</si>
  <si>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</si>
  <si>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</si>
  <si>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</si>
  <si>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</si>
  <si>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</si>
  <si>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</si>
  <si>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</si>
  <si>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</si>
  <si>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</si>
  <si>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</si>
  <si>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</si>
  <si>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</si>
  <si>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</si>
  <si>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</si>
  <si>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</si>
  <si>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</si>
  <si>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</si>
  <si>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</si>
  <si>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</si>
  <si>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</si>
  <si>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</si>
  <si>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</si>
  <si>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</si>
  <si>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</si>
  <si>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</si>
  <si>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</si>
  <si>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</si>
  <si>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</si>
  <si>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</si>
  <si>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</si>
  <si>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</si>
  <si>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</si>
  <si>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</si>
  <si>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</si>
  <si>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</si>
  <si>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</si>
  <si>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</si>
  <si>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</si>
  <si>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</si>
  <si>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</si>
  <si>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</si>
  <si>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</si>
  <si>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</si>
  <si>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</si>
  <si>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</si>
  <si>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</si>
  <si>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</si>
  <si>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</si>
  <si>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</si>
  <si>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</si>
  <si>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</si>
  <si>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</si>
  <si>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</si>
  <si>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</si>
  <si>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</si>
  <si>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</si>
  <si>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</si>
  <si>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</si>
  <si>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</si>
  <si>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</si>
  <si>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</si>
  <si>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</si>
  <si>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</si>
  <si>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</si>
  <si>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</si>
  <si>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</si>
  <si>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</si>
  <si>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</si>
  <si>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</si>
  <si>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</si>
  <si>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</si>
  <si>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</si>
  <si>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</si>
  <si>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</si>
  <si>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</si>
  <si>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</si>
  <si>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</si>
  <si>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</si>
  <si>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</si>
  <si>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</si>
  <si>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</si>
  <si>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</si>
  <si>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</si>
  <si>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</si>
  <si>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</si>
  <si>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</si>
  <si>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</si>
  <si>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</si>
  <si>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</si>
  <si>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</si>
  <si>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</si>
  <si>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</si>
  <si>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</si>
  <si>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</si>
  <si>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</si>
  <si>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</si>
  <si>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</si>
  <si>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</si>
  <si>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</si>
  <si>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</si>
  <si>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</si>
  <si>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</si>
  <si>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</si>
  <si>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</si>
  <si>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</si>
  <si>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</si>
  <si>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</si>
  <si>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</si>
  <si>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</si>
  <si>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</si>
  <si>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</si>
  <si>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</si>
  <si>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</si>
  <si>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</si>
  <si>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</si>
  <si>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</si>
  <si>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</si>
  <si>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</si>
  <si>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</si>
  <si>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</si>
  <si>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</si>
  <si>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</si>
  <si>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</si>
  <si>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</si>
  <si>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</si>
  <si>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</si>
  <si>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</si>
  <si>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</si>
  <si>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</si>
  <si>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</si>
  <si>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</si>
  <si>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</si>
  <si>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</si>
  <si>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</si>
  <si>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</si>
  <si>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</si>
  <si>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</si>
  <si>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</si>
  <si>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</si>
  <si>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</si>
  <si>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</si>
  <si>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</si>
  <si>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</si>
  <si>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</si>
  <si>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</si>
  <si>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</si>
  <si>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</si>
  <si>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</si>
  <si>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</si>
  <si>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</si>
  <si>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</si>
  <si>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</si>
  <si>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</si>
  <si>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</si>
  <si>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</si>
  <si>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</si>
  <si>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</si>
  <si>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</si>
  <si>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</si>
  <si>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</si>
  <si>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</si>
  <si>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</si>
  <si>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</si>
  <si>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</si>
  <si>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</si>
  <si>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</si>
  <si>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</si>
  <si>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</si>
  <si>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</si>
  <si>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</si>
  <si>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</si>
  <si>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</si>
  <si>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</si>
  <si>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</si>
  <si>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</si>
  <si>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</si>
  <si>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</si>
  <si>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</si>
  <si>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</si>
  <si>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</si>
  <si>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</si>
  <si>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</si>
  <si>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</si>
  <si>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</si>
  <si>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</si>
  <si>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</si>
  <si>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</si>
  <si>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</si>
  <si>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</si>
  <si>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</si>
  <si>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</si>
  <si>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</si>
  <si>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</si>
  <si>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</si>
  <si>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</si>
  <si>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</si>
  <si>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</si>
  <si>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</si>
  <si>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</si>
  <si>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</si>
  <si>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</si>
  <si>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</si>
  <si>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</si>
  <si>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</si>
  <si>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</si>
  <si>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</si>
  <si>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</si>
  <si>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</si>
  <si>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</si>
  <si>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</si>
  <si>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</si>
  <si>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</si>
  <si>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</si>
  <si>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</si>
  <si>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</si>
  <si>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</si>
  <si>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</si>
  <si>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</si>
  <si>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</si>
  <si>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</si>
  <si>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</si>
  <si>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</si>
  <si>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</si>
  <si>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</si>
  <si>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</si>
  <si>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</si>
  <si>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</si>
  <si>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</si>
  <si>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</si>
  <si>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</si>
  <si>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</si>
  <si>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</si>
  <si>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</si>
  <si>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</si>
  <si>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</si>
  <si>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</si>
  <si>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</si>
  <si>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</si>
  <si>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</si>
  <si>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</si>
  <si>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</si>
  <si>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</si>
  <si>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</si>
  <si>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</si>
  <si>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</si>
  <si>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</si>
  <si>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</si>
  <si>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</si>
  <si>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</si>
  <si>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</si>
  <si>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</si>
  <si>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</si>
  <si>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</si>
  <si>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</si>
  <si>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</si>
  <si>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</si>
  <si>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</si>
  <si>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</si>
  <si>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</si>
  <si>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</si>
  <si>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</si>
  <si>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</si>
  <si>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</si>
  <si>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</si>
  <si>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</si>
  <si>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</si>
  <si>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</si>
  <si>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</si>
  <si>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</si>
  <si>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</si>
  <si>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</si>
  <si>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</si>
  <si>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</si>
  <si>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</si>
  <si>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</si>
  <si>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</si>
  <si>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</si>
  <si>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</si>
  <si>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</si>
  <si>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</si>
  <si>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</si>
  <si>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</si>
  <si>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</si>
  <si>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</si>
  <si>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</si>
  <si>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</si>
  <si>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</si>
  <si>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</si>
  <si>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</si>
  <si>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</si>
  <si>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</si>
  <si>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</si>
  <si>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</si>
  <si>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</si>
  <si>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</si>
  <si>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</si>
  <si>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</si>
  <si>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</si>
  <si>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</si>
  <si>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</si>
  <si>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</si>
  <si>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</si>
  <si>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</si>
  <si>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</si>
  <si>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</si>
  <si>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</si>
  <si>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</si>
  <si>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</si>
  <si>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</si>
  <si>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</si>
  <si>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</si>
  <si>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</si>
  <si>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</si>
  <si>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</si>
  <si>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</si>
  <si>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</si>
  <si>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</si>
  <si>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</si>
  <si>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</si>
  <si>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</si>
  <si>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</si>
  <si>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</si>
  <si>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</si>
  <si>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</si>
  <si>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</si>
  <si>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</si>
  <si>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</si>
  <si>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</si>
  <si>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</si>
  <si>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</si>
  <si>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</si>
  <si>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</si>
  <si>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</si>
  <si>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</si>
  <si>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</si>
  <si>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</si>
  <si>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</si>
  <si>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</si>
  <si>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</si>
  <si>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</si>
  <si>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</si>
  <si>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</si>
  <si>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</si>
  <si>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</si>
  <si>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</si>
  <si>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</si>
  <si>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</si>
  <si>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</si>
  <si>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</si>
  <si>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</si>
  <si>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</si>
  <si>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</si>
  <si>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</si>
  <si>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</si>
  <si>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</si>
  <si>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</si>
  <si>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</si>
  <si>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</si>
  <si>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</si>
  <si>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</si>
  <si>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</si>
  <si>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</si>
  <si>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</si>
  <si>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</si>
  <si>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</si>
  <si>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</si>
  <si>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</si>
  <si>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</si>
  <si>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</si>
  <si>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</si>
  <si>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</si>
  <si>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</si>
  <si>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</si>
  <si>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</si>
  <si>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</si>
  <si>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</si>
  <si>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</si>
  <si>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</si>
  <si>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</si>
  <si>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</si>
  <si>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</si>
  <si>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</si>
  <si>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</si>
  <si>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</si>
  <si>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</si>
  <si>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</si>
  <si>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</si>
  <si>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</si>
  <si>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</si>
  <si>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</si>
  <si>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</si>
  <si>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</si>
  <si>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</si>
  <si>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</si>
  <si>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</si>
  <si>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</si>
  <si>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</si>
  <si>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</si>
  <si>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</si>
  <si>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</si>
  <si>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</si>
  <si>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</si>
  <si>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</si>
  <si>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</si>
  <si>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</si>
  <si>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</si>
  <si>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</si>
  <si>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</si>
  <si>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</si>
  <si>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</si>
  <si>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</si>
  <si>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</si>
  <si>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</si>
  <si>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</si>
  <si>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</si>
  <si>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</si>
  <si>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</si>
  <si>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</si>
  <si>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</si>
  <si>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</si>
  <si>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</si>
  <si>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</si>
  <si>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</si>
  <si>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</si>
  <si>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</si>
  <si>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</si>
  <si>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</si>
  <si>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</si>
  <si>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</si>
  <si>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</si>
  <si>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</si>
  <si>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</si>
  <si>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</si>
  <si>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</si>
  <si>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</si>
  <si>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</si>
  <si>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</si>
  <si>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</si>
  <si>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</si>
  <si>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</si>
  <si>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</si>
  <si>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</si>
  <si>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</si>
  <si>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</si>
  <si>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</si>
  <si>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</si>
  <si>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</si>
  <si>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</si>
  <si>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</si>
  <si>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</si>
  <si>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</si>
  <si>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</si>
  <si>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</si>
  <si>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</si>
  <si>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</si>
  <si>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</si>
  <si>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</si>
  <si>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</si>
  <si>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</si>
  <si>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</si>
  <si>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</si>
  <si>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</si>
  <si>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</si>
  <si>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</si>
  <si>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</si>
  <si>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</si>
  <si>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</si>
  <si>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</si>
  <si>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</si>
  <si>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</si>
  <si>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</si>
  <si>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</si>
  <si>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</si>
  <si>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</si>
  <si>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</si>
  <si>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</si>
  <si>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</si>
  <si>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</si>
  <si>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</si>
  <si>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</si>
  <si>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</si>
  <si>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</si>
  <si>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</si>
  <si>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</si>
  <si>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</si>
  <si>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</si>
  <si>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</si>
  <si>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</si>
  <si>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</si>
  <si>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</si>
  <si>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</si>
  <si>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</si>
  <si>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</si>
  <si>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</si>
  <si>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</si>
  <si>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</si>
  <si>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</si>
  <si>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</si>
  <si>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</si>
  <si>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</si>
  <si>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</si>
  <si>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</si>
  <si>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</si>
  <si>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</si>
  <si>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</si>
  <si>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</si>
  <si>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</si>
  <si>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</si>
  <si>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</si>
  <si>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</si>
  <si>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</si>
  <si>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</si>
  <si>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</si>
  <si>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</si>
  <si>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</si>
  <si>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</si>
  <si>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</si>
  <si>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</si>
  <si>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</si>
  <si>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</si>
  <si>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</si>
  <si>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</si>
  <si>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</si>
  <si>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</si>
  <si>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</si>
  <si>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</si>
  <si>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</si>
  <si>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</si>
  <si>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</si>
  <si>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</si>
  <si>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</si>
  <si>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</si>
  <si>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</si>
  <si>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</si>
  <si>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</si>
  <si>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</si>
  <si>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</si>
  <si>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</si>
  <si>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</si>
  <si>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</si>
  <si>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</si>
  <si>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</si>
  <si>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</si>
  <si>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</si>
  <si>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</si>
  <si>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</si>
  <si>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</si>
  <si>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</si>
  <si>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</si>
  <si>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</si>
  <si>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</si>
  <si>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</si>
  <si>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</si>
  <si>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</si>
  <si>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</si>
  <si>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</si>
  <si>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</si>
  <si>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</si>
  <si>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</si>
  <si>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</si>
  <si>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</si>
  <si>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</si>
  <si>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</si>
  <si>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</si>
  <si>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</si>
  <si>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</si>
  <si>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</si>
  <si>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</si>
  <si>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</si>
  <si>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</si>
  <si>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</si>
  <si>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</si>
  <si>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</si>
  <si>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</si>
  <si>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</si>
  <si>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</si>
  <si>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</si>
  <si>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</si>
  <si>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</si>
  <si>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</si>
  <si>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</si>
  <si>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</si>
  <si>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</si>
  <si>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</si>
  <si>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</si>
  <si>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</si>
  <si>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</si>
  <si>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</si>
  <si>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</si>
  <si>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</si>
  <si>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</si>
  <si>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</si>
  <si>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</si>
  <si>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</si>
  <si>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</si>
  <si>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</si>
  <si>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</si>
  <si>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</si>
  <si>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</si>
  <si>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</si>
  <si>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</si>
  <si>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</si>
  <si>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</si>
  <si>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</si>
  <si>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</si>
  <si>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</si>
  <si>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</si>
  <si>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</si>
  <si>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</si>
  <si>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</si>
  <si>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</si>
  <si>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</si>
  <si>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</si>
  <si>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</si>
  <si>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</si>
  <si>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</si>
  <si>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</si>
  <si>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</si>
  <si>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</si>
  <si>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</si>
  <si>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</si>
  <si>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</si>
  <si>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</si>
  <si>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</si>
  <si>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</si>
  <si>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</si>
  <si>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</si>
  <si>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</si>
  <si>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</si>
  <si>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</si>
  <si>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</si>
  <si>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</si>
  <si>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</si>
  <si>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</si>
  <si>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</si>
  <si>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</si>
  <si>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</si>
  <si>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</si>
  <si>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</si>
  <si>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</si>
  <si>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</si>
  <si>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</si>
  <si>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</si>
  <si>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</si>
  <si>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</si>
  <si>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</si>
  <si>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</si>
  <si>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</si>
  <si>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</si>
  <si>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</si>
  <si>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</si>
  <si>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</si>
  <si>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</si>
  <si>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</si>
  <si>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</si>
  <si>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</si>
  <si>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</si>
  <si>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</si>
  <si>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</si>
  <si>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</si>
  <si>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</si>
  <si>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</si>
  <si>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</si>
  <si>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</si>
  <si>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</si>
  <si>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</si>
  <si>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</si>
  <si>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</si>
  <si>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</si>
  <si>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</si>
  <si>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</si>
  <si>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</si>
  <si>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</si>
  <si>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</si>
  <si>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</si>
  <si>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</si>
  <si>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</si>
  <si>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</si>
  <si>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</si>
  <si>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</si>
  <si>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</si>
  <si>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</si>
  <si>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</si>
  <si>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</si>
  <si>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</si>
  <si>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</si>
  <si>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</si>
  <si>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</si>
  <si>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</si>
  <si>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</si>
  <si>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</si>
  <si>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</si>
  <si>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</si>
  <si>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</si>
  <si>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</si>
  <si>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</si>
  <si>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</si>
  <si>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</si>
  <si>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</si>
  <si>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</si>
  <si>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</si>
  <si>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</si>
  <si>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</si>
  <si>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</si>
  <si>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</si>
  <si>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</si>
  <si>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</si>
  <si>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</si>
  <si>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</si>
  <si>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</si>
  <si>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</si>
  <si>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</si>
  <si>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</si>
  <si>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</si>
  <si>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</si>
  <si>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</si>
  <si>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</si>
  <si>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</si>
  <si>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</si>
  <si>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</si>
  <si>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</si>
  <si>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</si>
  <si>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</si>
  <si>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</si>
  <si>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</si>
  <si>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</si>
  <si>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</si>
  <si>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</si>
  <si>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</si>
  <si>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</si>
  <si>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</si>
  <si>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</si>
  <si>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</si>
  <si>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</si>
  <si>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</si>
  <si>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</si>
  <si>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</si>
  <si>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</si>
  <si>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</si>
  <si>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</si>
  <si>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</si>
  <si>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</si>
  <si>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</si>
  <si>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</si>
  <si>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</si>
  <si>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</si>
  <si>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</si>
  <si>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</si>
  <si>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</si>
  <si>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</si>
  <si>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</si>
  <si>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</si>
  <si>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</si>
  <si>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</si>
  <si>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</si>
  <si>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</si>
  <si>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</si>
  <si>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</si>
  <si>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</si>
  <si>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</si>
  <si>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</si>
  <si>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</si>
  <si>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</si>
  <si>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</si>
  <si>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</si>
  <si>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</si>
  <si>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</si>
  <si>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</si>
  <si>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</si>
  <si>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</si>
  <si>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</si>
  <si>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</si>
  <si>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</si>
  <si>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</si>
  <si>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</si>
  <si>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</si>
  <si>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</si>
  <si>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</si>
  <si>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</si>
  <si>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</si>
  <si>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</si>
  <si>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</si>
  <si>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</si>
  <si>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</si>
  <si>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</si>
  <si>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</si>
  <si>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</si>
  <si>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</si>
  <si>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</si>
  <si>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</si>
  <si>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</si>
  <si>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</si>
  <si>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</si>
  <si>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</si>
  <si>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</si>
  <si>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</si>
  <si>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</si>
  <si>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</si>
  <si>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</si>
  <si>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</si>
  <si>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</si>
  <si>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</si>
  <si>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</si>
  <si>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</si>
  <si>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</si>
  <si>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</si>
  <si>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</si>
  <si>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</si>
  <si>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</si>
  <si>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</si>
  <si>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</si>
  <si>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</si>
  <si>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</si>
  <si>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</si>
  <si>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</si>
  <si>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</si>
  <si>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</si>
  <si>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</si>
  <si>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</si>
  <si>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</si>
  <si>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</si>
  <si>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</si>
  <si>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</si>
  <si>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</si>
  <si>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</si>
  <si>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</si>
  <si>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</si>
  <si>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</si>
  <si>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</si>
  <si>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</si>
  <si>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</si>
  <si>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</si>
  <si>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</si>
  <si>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</si>
  <si>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</si>
  <si>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</si>
  <si>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</si>
  <si>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</si>
  <si>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</si>
  <si>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</si>
  <si>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</si>
  <si>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</si>
  <si>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</si>
  <si>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</si>
  <si>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</si>
  <si>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</si>
  <si>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</si>
  <si>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</si>
  <si>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</si>
  <si>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</si>
  <si>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</si>
  <si>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</si>
  <si>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</si>
  <si>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</si>
  <si>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</si>
  <si>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</si>
  <si>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</si>
  <si>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</si>
  <si>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</si>
  <si>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</si>
  <si>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</si>
  <si>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</si>
  <si>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</si>
  <si>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</si>
  <si>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</si>
  <si>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</si>
  <si>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</si>
  <si>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</si>
  <si>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</si>
  <si>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</si>
  <si>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</si>
  <si>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</si>
  <si>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</si>
  <si>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</si>
  <si>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</si>
  <si>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</si>
  <si>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</si>
  <si>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</si>
  <si>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</si>
  <si>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</si>
  <si>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</si>
  <si>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</si>
  <si>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</si>
  <si>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</si>
  <si>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</si>
  <si>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</si>
  <si>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</si>
  <si>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</si>
  <si>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</si>
  <si>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</si>
  <si>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</si>
  <si>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</si>
  <si>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</si>
  <si>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</si>
  <si>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</si>
  <si>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</si>
  <si>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</si>
  <si>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</si>
  <si>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</si>
  <si>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</si>
  <si>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</si>
  <si>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</si>
  <si>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</si>
  <si>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</si>
  <si>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</si>
  <si>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</si>
  <si>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</si>
  <si>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</si>
  <si>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</si>
  <si>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</si>
  <si>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</si>
  <si>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</si>
  <si>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</si>
  <si>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</si>
  <si>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</si>
  <si>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</si>
  <si>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</si>
  <si>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</si>
  <si>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</si>
  <si>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</si>
  <si>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</si>
  <si>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</si>
  <si>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</si>
  <si>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</si>
  <si>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</si>
  <si>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</si>
  <si>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</si>
  <si>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</si>
  <si>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</si>
  <si>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</si>
  <si>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</si>
  <si>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</si>
  <si>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</si>
  <si>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</si>
  <si>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</si>
  <si>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</si>
  <si>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</si>
  <si>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</si>
  <si>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</si>
  <si>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</si>
  <si>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</si>
  <si>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</si>
  <si>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</si>
  <si>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</si>
  <si>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</si>
  <si>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</si>
  <si>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</si>
  <si>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</si>
  <si>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</si>
  <si>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</si>
  <si>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</si>
  <si>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</si>
  <si>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</si>
  <si>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</si>
  <si>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</si>
  <si>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</si>
  <si>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</si>
  <si>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</si>
  <si>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</si>
  <si>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</si>
  <si>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</si>
  <si>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</si>
  <si>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</si>
  <si>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</si>
  <si>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</si>
  <si>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</si>
  <si>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</si>
  <si>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</si>
  <si>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</si>
  <si>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</si>
  <si>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</si>
  <si>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</si>
  <si>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</si>
  <si>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</si>
  <si>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</si>
  <si>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</si>
  <si>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</si>
  <si>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</si>
  <si>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</si>
  <si>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</si>
  <si>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</si>
  <si>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</si>
  <si>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</si>
  <si>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</si>
  <si>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</si>
  <si>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</si>
  <si>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</si>
  <si>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</si>
  <si>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</si>
  <si>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</si>
  <si>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</si>
  <si>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</si>
  <si>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</si>
  <si>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</si>
  <si>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</si>
  <si>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</si>
  <si>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</si>
  <si>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</si>
  <si>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</si>
  <si>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</si>
  <si>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</si>
  <si>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</si>
  <si>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</si>
  <si>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</si>
  <si>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</si>
  <si>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</si>
  <si>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</si>
  <si>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</si>
  <si>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</si>
  <si>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</si>
  <si>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</si>
  <si>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</si>
  <si>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</si>
  <si>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</si>
  <si>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</si>
  <si>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</si>
  <si>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</si>
  <si>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</si>
  <si>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</si>
  <si>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</si>
  <si>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</si>
  <si>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</si>
  <si>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</si>
  <si>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</si>
  <si>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</si>
  <si>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</si>
  <si>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</si>
  <si>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</si>
  <si>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</si>
  <si>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</si>
  <si>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</si>
  <si>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</si>
  <si>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</si>
  <si>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</si>
  <si>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</si>
  <si>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</si>
  <si>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</si>
  <si>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</si>
  <si>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</si>
  <si>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</si>
  <si>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</si>
  <si>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</si>
  <si>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</si>
  <si>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</si>
  <si>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</si>
  <si>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</si>
  <si>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</si>
  <si>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</si>
  <si>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</si>
  <si>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</si>
  <si>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</si>
  <si>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</si>
  <si>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</si>
  <si>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</si>
  <si>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</si>
  <si>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</si>
  <si>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</si>
  <si>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</si>
  <si>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</si>
  <si>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</si>
  <si>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</si>
  <si>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</si>
  <si>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</si>
  <si>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</si>
  <si>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</si>
  <si>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</si>
  <si>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</si>
  <si>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</si>
  <si>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</si>
  <si>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</si>
  <si>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</si>
  <si>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</si>
  <si>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</si>
  <si>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</si>
  <si>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</si>
  <si>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</si>
  <si>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</si>
  <si>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</si>
  <si>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</si>
  <si>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</si>
  <si>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</si>
  <si>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</si>
  <si>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</si>
  <si>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</si>
  <si>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</si>
  <si>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</si>
  <si>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</si>
  <si>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</si>
  <si>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</si>
  <si>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</si>
  <si>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</si>
  <si>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</si>
  <si>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</si>
  <si>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</si>
  <si>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</si>
  <si>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</si>
  <si>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</si>
  <si>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</si>
  <si>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</si>
  <si>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</si>
  <si>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</si>
  <si>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</si>
  <si>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</si>
  <si>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</si>
  <si>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</si>
  <si>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</si>
  <si>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</si>
  <si>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</si>
  <si>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</si>
  <si>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</si>
  <si>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</si>
  <si>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</si>
  <si>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</si>
  <si>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</si>
  <si>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</si>
  <si>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</si>
  <si>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</si>
  <si>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</si>
  <si>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</si>
  <si>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</si>
  <si>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</si>
  <si>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</si>
  <si>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</si>
  <si>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</si>
  <si>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</si>
  <si>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</si>
  <si>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</si>
  <si>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</si>
  <si>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</si>
  <si>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</si>
  <si>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</si>
  <si>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</si>
  <si>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</si>
  <si>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</si>
  <si>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</si>
  <si>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</si>
  <si>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</si>
  <si>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</si>
  <si>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</si>
  <si>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</si>
  <si>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</si>
  <si>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</si>
  <si>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</si>
  <si>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</si>
  <si>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</si>
  <si>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</si>
  <si>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</si>
  <si>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</si>
  <si>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</si>
  <si>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</si>
  <si>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</si>
  <si>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</si>
  <si>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</si>
  <si>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</si>
  <si>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</si>
  <si>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</si>
  <si>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</si>
  <si>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</si>
  <si>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</si>
  <si>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</si>
  <si>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</si>
  <si>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</si>
  <si>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</si>
  <si>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</si>
  <si>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</si>
  <si>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</si>
  <si>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</si>
  <si>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</si>
  <si>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</si>
  <si>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</si>
  <si>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</si>
  <si>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</si>
  <si>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</si>
  <si>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</si>
  <si>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</si>
  <si>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</si>
  <si>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</si>
  <si>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</si>
  <si>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</si>
  <si>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</si>
  <si>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</si>
  <si>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</si>
  <si>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</si>
  <si>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</si>
  <si>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</si>
  <si>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</si>
  <si>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</si>
  <si>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</si>
  <si>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</si>
  <si>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</si>
  <si>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</si>
  <si>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</si>
  <si>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</si>
  <si>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</si>
  <si>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</si>
  <si>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</si>
  <si>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</si>
  <si>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</si>
  <si>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</si>
  <si>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</si>
  <si>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</si>
  <si>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</si>
  <si>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</si>
  <si>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</si>
  <si>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</si>
  <si>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</si>
  <si>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</si>
  <si>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</si>
  <si>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</si>
  <si>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</si>
  <si>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</si>
  <si>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</si>
  <si>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</si>
  <si>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</si>
  <si>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</si>
  <si>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</si>
  <si>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</si>
  <si>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</si>
  <si>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</si>
  <si>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</si>
  <si>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</si>
  <si>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</si>
  <si>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</si>
  <si>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</si>
  <si>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</si>
  <si>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</si>
  <si>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</si>
  <si>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</si>
  <si>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</si>
  <si>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</si>
  <si>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</si>
  <si>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</si>
  <si>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</si>
  <si>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</si>
  <si>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</si>
  <si>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</si>
  <si>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</si>
  <si>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</si>
  <si>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</si>
  <si>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</si>
  <si>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</si>
  <si>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</si>
  <si>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</si>
  <si>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</si>
  <si>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</si>
  <si>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</si>
  <si>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</si>
  <si>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</si>
  <si>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</si>
  <si>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</si>
  <si>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</si>
  <si>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</si>
  <si>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</si>
  <si>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</si>
  <si>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</si>
  <si>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</si>
  <si>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</si>
  <si>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</si>
  <si>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</si>
  <si>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</si>
  <si>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</si>
  <si>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</si>
  <si>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</si>
  <si>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</si>
  <si>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</si>
  <si>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</si>
  <si>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</si>
  <si>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</si>
  <si>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</si>
  <si>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</si>
  <si>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</si>
  <si>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</si>
  <si>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</si>
  <si>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</si>
  <si>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</si>
  <si>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</si>
  <si>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</si>
  <si>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</si>
  <si>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</si>
  <si>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</si>
  <si>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</si>
  <si>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</si>
  <si>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</si>
  <si>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</si>
  <si>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</si>
  <si>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</si>
  <si>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</si>
  <si>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</si>
  <si>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</si>
  <si>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</si>
  <si>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</si>
  <si>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</si>
  <si>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</si>
  <si>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</si>
  <si>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</si>
  <si>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</si>
  <si>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</si>
  <si>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</si>
  <si>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</si>
  <si>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</si>
  <si>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</si>
  <si>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</si>
  <si>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</si>
  <si>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</si>
  <si>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</si>
  <si>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</si>
  <si>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</si>
  <si>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</si>
  <si>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</si>
  <si>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</si>
  <si>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</si>
  <si>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</si>
  <si>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</si>
  <si>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</si>
  <si>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</si>
  <si>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</si>
  <si>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</si>
  <si>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</si>
  <si>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</si>
  <si>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</si>
  <si>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</si>
  <si>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</si>
  <si>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</si>
  <si>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</si>
  <si>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</si>
  <si>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</si>
  <si>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</si>
  <si>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</si>
  <si>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</si>
  <si>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</si>
  <si>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</si>
  <si>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</si>
  <si>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</si>
  <si>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</si>
  <si>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</si>
  <si>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</si>
  <si>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</si>
  <si>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</si>
  <si>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</si>
  <si>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</si>
  <si>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</si>
  <si>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</si>
  <si>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</si>
  <si>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</si>
  <si>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</si>
  <si>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</si>
  <si>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</si>
  <si>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</si>
  <si>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</si>
  <si>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</si>
  <si>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</si>
  <si>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</si>
  <si>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</si>
  <si>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</si>
  <si>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</si>
  <si>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</si>
  <si>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</si>
  <si>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</si>
  <si>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</si>
  <si>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</si>
  <si>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</si>
  <si>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</si>
  <si>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</si>
  <si>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</si>
  <si>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</si>
  <si>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</si>
  <si>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</si>
  <si>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</si>
  <si>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</si>
  <si>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</si>
  <si>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</si>
  <si>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</si>
  <si>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</si>
  <si>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</si>
  <si>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</si>
  <si>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</si>
  <si>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</si>
  <si>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</si>
  <si>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</si>
  <si>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</si>
  <si>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</si>
  <si>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</si>
  <si>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</si>
  <si>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</si>
  <si>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</si>
  <si>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</si>
  <si>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</si>
  <si>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</si>
  <si>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</si>
  <si>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</si>
  <si>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</si>
  <si>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</si>
  <si>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</si>
  <si>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</si>
  <si>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</si>
  <si>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</si>
  <si>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</si>
  <si>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</si>
  <si>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</si>
  <si>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</si>
  <si>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</si>
  <si>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</si>
  <si>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</si>
  <si>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</si>
  <si>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</si>
  <si>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</si>
  <si>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</si>
  <si>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</si>
  <si>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</si>
  <si>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</si>
  <si>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</si>
  <si>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</si>
  <si>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</si>
  <si>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</si>
  <si>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</si>
  <si>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</si>
  <si>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</si>
  <si>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</si>
  <si>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</si>
  <si>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</si>
  <si>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</si>
  <si>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</si>
  <si>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</si>
  <si>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</si>
  <si>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</si>
  <si>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</si>
  <si>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</si>
  <si>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</si>
  <si>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</si>
  <si>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</si>
  <si>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</si>
  <si>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</si>
  <si>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</si>
  <si>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</si>
  <si>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</si>
  <si>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</si>
  <si>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</si>
  <si>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</si>
  <si>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</si>
  <si>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</si>
  <si>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</si>
  <si>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</si>
  <si>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</si>
  <si>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</si>
  <si>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</si>
  <si>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</si>
  <si>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</si>
  <si>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</si>
  <si>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</si>
  <si>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</si>
  <si>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</si>
  <si>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</si>
  <si>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</si>
  <si>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</si>
  <si>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</si>
  <si>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</si>
  <si>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</si>
  <si>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</si>
  <si>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</si>
  <si>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</si>
  <si>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</si>
  <si>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</si>
  <si>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</si>
  <si>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</si>
  <si>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</si>
  <si>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</si>
  <si>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</si>
  <si>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</si>
  <si>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</si>
  <si>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</si>
  <si>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</si>
  <si>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</si>
  <si>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</si>
  <si>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</si>
  <si>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</si>
  <si>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</si>
  <si>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</si>
  <si>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</si>
  <si>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</si>
  <si>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</si>
  <si>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</si>
  <si>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</si>
  <si>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</si>
  <si>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</si>
  <si>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</si>
  <si>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</si>
  <si>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</si>
  <si>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</si>
  <si>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</si>
  <si>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</si>
  <si>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</si>
  <si>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</si>
  <si>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</si>
  <si>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</si>
  <si>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</si>
  <si>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</si>
  <si>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</si>
  <si>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</si>
  <si>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</si>
  <si>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</si>
  <si>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</si>
  <si>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</si>
  <si>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</si>
  <si>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</si>
  <si>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</si>
  <si>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</si>
  <si>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</si>
  <si>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</si>
  <si>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</si>
  <si>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</si>
  <si>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</si>
  <si>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</si>
  <si>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</si>
  <si>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</si>
  <si>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</si>
  <si>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</si>
  <si>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</si>
  <si>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</si>
  <si>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</si>
  <si>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</si>
  <si>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</si>
  <si>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</si>
  <si>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</si>
  <si>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</si>
  <si>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</si>
  <si>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</si>
  <si>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</si>
  <si>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</si>
  <si>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</si>
  <si>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</si>
  <si>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</si>
  <si>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</si>
  <si>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</si>
  <si>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</si>
  <si>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</si>
  <si>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</si>
  <si>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</si>
  <si>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</si>
  <si>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</si>
  <si>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</si>
  <si>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</si>
  <si>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</si>
  <si>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</si>
  <si>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</si>
  <si>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</si>
  <si>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</si>
  <si>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</si>
  <si>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</si>
  <si>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</si>
  <si>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</si>
  <si>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</si>
  <si>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</si>
  <si>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</si>
  <si>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</si>
  <si>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</si>
  <si>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</si>
  <si>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</si>
  <si>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</si>
  <si>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</si>
  <si>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</si>
  <si>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</si>
  <si>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</si>
  <si>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</si>
  <si>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</si>
  <si>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</si>
  <si>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</si>
  <si>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</si>
  <si>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</si>
  <si>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</si>
  <si>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</si>
  <si>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</si>
  <si>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</si>
  <si>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</si>
  <si>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</si>
  <si>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</si>
  <si>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</si>
  <si>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</si>
  <si>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</si>
  <si>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</si>
  <si>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</si>
  <si>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</si>
  <si>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</si>
  <si>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</si>
  <si>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</si>
  <si>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</si>
  <si>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</si>
  <si>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</si>
  <si>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</si>
  <si>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</si>
  <si>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</si>
  <si>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</si>
  <si>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</si>
  <si>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</si>
  <si>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</si>
  <si>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</si>
  <si>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</si>
  <si>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</si>
  <si>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</si>
  <si>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</si>
  <si>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</si>
  <si>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</si>
  <si>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</si>
  <si>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</si>
  <si>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</si>
  <si>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</si>
  <si>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</si>
  <si>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</si>
  <si>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</si>
  <si>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</si>
  <si>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</si>
  <si>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</si>
  <si>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</si>
  <si>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</si>
  <si>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</si>
  <si>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</si>
  <si>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</si>
  <si>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</si>
  <si>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</si>
  <si>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</si>
  <si>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</si>
  <si>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</si>
  <si>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</si>
  <si>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</si>
  <si>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</si>
  <si>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</si>
  <si>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</si>
  <si>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</si>
  <si>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</si>
  <si>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</si>
  <si>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</si>
  <si>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</si>
  <si>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</si>
  <si>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</si>
  <si>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</si>
  <si>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</si>
  <si>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</si>
  <si>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</si>
  <si>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</si>
  <si>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</si>
  <si>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</si>
  <si>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</si>
  <si>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</si>
  <si>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</si>
  <si>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</si>
  <si>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</si>
  <si>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</si>
  <si>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</si>
  <si>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</si>
  <si>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</si>
  <si>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</si>
  <si>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</si>
  <si>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</si>
  <si>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</si>
  <si>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</si>
  <si>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</si>
  <si>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</si>
  <si>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</si>
  <si>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</si>
  <si>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</si>
  <si>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</si>
  <si>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</si>
  <si>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</si>
  <si>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</si>
  <si>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</si>
  <si>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</si>
  <si>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</si>
  <si>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</si>
  <si>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</si>
  <si>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</si>
  <si>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</si>
  <si>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</si>
  <si>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</si>
  <si>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</si>
  <si>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</si>
  <si>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</si>
  <si>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</si>
  <si>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</si>
  <si>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</si>
  <si>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</si>
  <si>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</si>
  <si>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</si>
  <si>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</si>
  <si>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</si>
  <si>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</si>
  <si>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</si>
  <si>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</si>
  <si>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</si>
  <si>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</si>
  <si>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</si>
  <si>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</si>
  <si>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</si>
  <si>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</si>
  <si>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</si>
  <si>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</si>
  <si>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</si>
  <si>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</si>
  <si>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</si>
  <si>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</si>
  <si>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</si>
  <si>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</si>
  <si>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</si>
  <si>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</si>
  <si>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</si>
  <si>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</si>
  <si>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</si>
  <si>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</si>
  <si>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</si>
  <si>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</si>
  <si>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</si>
  <si>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</si>
  <si>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</si>
  <si>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</si>
  <si>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</si>
  <si>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</si>
  <si>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</si>
  <si>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</si>
  <si>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</si>
  <si>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</si>
  <si>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</si>
  <si>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</si>
  <si>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</si>
  <si>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</si>
  <si>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</si>
  <si>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</si>
  <si>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</si>
  <si>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</si>
  <si>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</si>
  <si>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</si>
  <si>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</si>
  <si>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</si>
  <si>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</si>
  <si>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</si>
  <si>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</si>
  <si>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</si>
  <si>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</si>
  <si>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</si>
  <si>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</si>
  <si>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</si>
  <si>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</si>
  <si>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</si>
  <si>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</si>
  <si>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</si>
  <si>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</si>
  <si>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</si>
  <si>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</si>
  <si>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</si>
  <si>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</si>
  <si>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</si>
  <si>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</si>
  <si>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</si>
  <si>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</si>
  <si>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</si>
  <si>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</si>
  <si>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</si>
  <si>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</si>
  <si>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</si>
  <si>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</si>
  <si>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</si>
  <si>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</si>
  <si>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</si>
  <si>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</si>
  <si>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</si>
  <si>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</si>
  <si>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</si>
  <si>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</si>
  <si>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</si>
  <si>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</si>
  <si>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</si>
  <si>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</si>
  <si>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</si>
  <si>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</si>
  <si>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</si>
  <si>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</si>
  <si>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</si>
  <si>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</si>
  <si>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</si>
  <si>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</si>
  <si>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</si>
  <si>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</si>
  <si>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</si>
  <si>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</si>
  <si>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</si>
  <si>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</si>
  <si>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</si>
  <si>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</si>
  <si>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</si>
  <si>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</si>
  <si>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</si>
  <si>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</si>
  <si>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</si>
  <si>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</si>
  <si>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</si>
  <si>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</si>
  <si>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</si>
  <si>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</si>
  <si>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</si>
  <si>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</si>
  <si>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</si>
  <si>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</si>
  <si>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</si>
  <si>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</si>
  <si>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</si>
  <si>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</si>
  <si>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</si>
  <si>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</si>
  <si>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</si>
  <si>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</si>
  <si>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</si>
  <si>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</si>
  <si>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</si>
  <si>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</si>
  <si>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</si>
  <si>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</si>
  <si>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</si>
  <si>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</si>
  <si>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</si>
  <si>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</si>
  <si>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</si>
  <si>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</si>
  <si>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</si>
  <si>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</si>
  <si>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</si>
  <si>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</si>
  <si>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</si>
  <si>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</si>
  <si>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</si>
  <si>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</si>
  <si>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</si>
  <si>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</si>
  <si>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</si>
  <si>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</si>
  <si>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</si>
  <si>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</si>
  <si>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</si>
  <si>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</si>
  <si>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</si>
  <si>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</si>
  <si>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</si>
  <si>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</si>
  <si>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</si>
  <si>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</si>
  <si>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</si>
  <si>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</si>
  <si>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</si>
  <si>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</si>
  <si>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</si>
  <si>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</si>
  <si>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</si>
  <si>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</si>
  <si>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</si>
  <si>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</si>
  <si>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</si>
  <si>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</si>
  <si>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</si>
  <si>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</si>
  <si>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</si>
  <si>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</si>
  <si>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</si>
  <si>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</si>
  <si>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</si>
  <si>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</si>
  <si>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</si>
  <si>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</si>
  <si>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</si>
  <si>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</si>
  <si>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</si>
  <si>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</si>
  <si>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</si>
  <si>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</si>
  <si>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</si>
  <si>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</si>
  <si>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</si>
  <si>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</si>
  <si>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</si>
  <si>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</si>
  <si>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</si>
  <si>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</si>
  <si>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</si>
  <si>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</si>
  <si>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</si>
  <si>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</si>
  <si>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</si>
  <si>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</si>
  <si>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</si>
  <si>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</si>
  <si>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</si>
  <si>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</si>
  <si>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</si>
  <si>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</si>
  <si>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</si>
  <si>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</si>
  <si>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</si>
  <si>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</si>
  <si>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</si>
  <si>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</si>
  <si>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</si>
  <si>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</si>
  <si>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</si>
  <si>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</si>
  <si>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</si>
  <si>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</si>
  <si>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</si>
  <si>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</si>
  <si>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</si>
  <si>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</si>
  <si>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</si>
  <si>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</si>
  <si>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</si>
  <si>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</si>
  <si>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</si>
  <si>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</si>
  <si>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</si>
  <si>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</si>
  <si>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</si>
  <si>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</si>
  <si>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</si>
  <si>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</si>
  <si>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</si>
  <si>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</si>
  <si>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</si>
  <si>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</si>
  <si>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</si>
  <si>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</si>
  <si>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</si>
  <si>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</si>
  <si>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</si>
  <si>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</si>
  <si>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</si>
  <si>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</si>
  <si>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</si>
  <si>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</si>
  <si>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</si>
  <si>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</si>
  <si>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</si>
  <si>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</si>
  <si>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</si>
  <si>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</si>
  <si>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</si>
  <si>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</si>
  <si>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</si>
  <si>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</si>
  <si>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</si>
  <si>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</si>
  <si>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</si>
  <si>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</si>
  <si>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</si>
  <si>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</si>
  <si>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</si>
  <si>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</si>
  <si>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</si>
  <si>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</si>
  <si>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</si>
  <si>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</si>
  <si>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</si>
  <si>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</si>
  <si>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</si>
  <si>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</si>
  <si>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</si>
  <si>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</si>
  <si>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</si>
  <si>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</si>
  <si>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</si>
  <si>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</si>
  <si>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</si>
  <si>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</si>
  <si>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</si>
  <si>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</si>
  <si>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</si>
  <si>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</si>
  <si>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</si>
  <si>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</si>
  <si>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</si>
  <si>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</si>
  <si>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</si>
  <si>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</si>
  <si>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</si>
  <si>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</si>
  <si>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</si>
  <si>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</si>
  <si>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</si>
  <si>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</si>
  <si>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</si>
  <si>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</si>
  <si>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</si>
  <si>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</si>
  <si>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</si>
  <si>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</si>
  <si>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</si>
  <si>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</si>
  <si>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</si>
  <si>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</si>
  <si>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</si>
  <si>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</si>
  <si>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</si>
  <si>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</si>
  <si>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</si>
  <si>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</si>
  <si>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</si>
  <si>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</si>
  <si>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</si>
  <si>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</si>
  <si>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</si>
  <si>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</si>
  <si>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</si>
  <si>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</si>
  <si>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</si>
  <si>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</si>
  <si>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</si>
  <si>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</si>
  <si>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</si>
  <si>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</si>
  <si>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</si>
  <si>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</si>
  <si>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</si>
  <si>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</si>
  <si>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</si>
  <si>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</si>
  <si>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</si>
  <si>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</si>
  <si>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</si>
  <si>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</si>
  <si>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</si>
  <si>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</si>
  <si>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</si>
  <si>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</si>
  <si>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</si>
  <si>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</si>
  <si>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</si>
  <si>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</si>
  <si>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</si>
  <si>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</si>
  <si>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</si>
  <si>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</si>
  <si>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</si>
  <si>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</si>
  <si>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</si>
  <si>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</si>
  <si>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</si>
  <si>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</si>
  <si>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</si>
  <si>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</si>
  <si>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</si>
  <si>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</si>
  <si>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</si>
  <si>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</si>
  <si>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</si>
  <si>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</si>
  <si>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</si>
  <si>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</si>
  <si>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</si>
  <si>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</si>
  <si>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</si>
  <si>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</si>
  <si>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</si>
  <si>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</si>
  <si>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</si>
  <si>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</si>
  <si>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</si>
  <si>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</si>
  <si>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</si>
  <si>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</si>
  <si>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</si>
  <si>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</si>
  <si>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</si>
  <si>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</si>
  <si>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</si>
  <si>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</si>
  <si>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</si>
  <si>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</si>
  <si>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</si>
  <si>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</si>
  <si>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</si>
  <si>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</si>
  <si>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</si>
  <si>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</si>
  <si>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</si>
  <si>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</si>
  <si>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</si>
  <si>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</si>
  <si>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</si>
  <si>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</si>
  <si>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</si>
  <si>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</si>
  <si>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</si>
  <si>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</si>
  <si>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</si>
  <si>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</si>
  <si>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</si>
  <si>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</si>
  <si>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</si>
  <si>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</si>
  <si>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</si>
  <si>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</si>
  <si>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</si>
  <si>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</si>
  <si>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</si>
  <si>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</si>
  <si>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</si>
  <si>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</si>
  <si>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</si>
  <si>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</si>
  <si>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</si>
  <si>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</si>
  <si>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</si>
  <si>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</si>
  <si>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</si>
  <si>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</si>
  <si>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</si>
  <si>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</si>
  <si>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</si>
  <si>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</si>
  <si>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</si>
  <si>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</si>
  <si>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</si>
  <si>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</si>
  <si>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</si>
  <si>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</si>
  <si>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</si>
  <si>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</si>
  <si>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</si>
  <si>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</si>
  <si>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</si>
  <si>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</si>
  <si>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</si>
  <si>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</si>
  <si>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</si>
  <si>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</si>
  <si>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</si>
  <si>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</si>
  <si>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</si>
  <si>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</si>
  <si>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</si>
  <si>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</si>
  <si>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</si>
  <si>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</si>
  <si>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</si>
  <si>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</si>
  <si>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</si>
  <si>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</si>
  <si>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</si>
  <si>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</si>
  <si>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</si>
  <si>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</si>
  <si>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</si>
  <si>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</si>
  <si>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</si>
  <si>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</si>
  <si>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</si>
  <si>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</si>
  <si>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</si>
  <si>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</si>
  <si>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</si>
  <si>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</si>
  <si>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</si>
  <si>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</si>
  <si>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</si>
  <si>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</si>
  <si>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</si>
  <si>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</si>
  <si>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</si>
  <si>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</si>
  <si>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</si>
  <si>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</si>
  <si>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</si>
  <si>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</si>
  <si>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</si>
  <si>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</si>
  <si>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</si>
  <si>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</si>
  <si>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</si>
  <si>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</si>
  <si>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</si>
  <si>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</si>
  <si>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</si>
  <si>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</si>
  <si>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</si>
  <si>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</si>
  <si>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</si>
  <si>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</si>
  <si>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</si>
  <si>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</si>
  <si>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</si>
  <si>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</si>
  <si>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</si>
  <si>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</si>
  <si>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</si>
  <si>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</si>
  <si>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</si>
  <si>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</si>
  <si>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</si>
  <si>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</si>
  <si>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</si>
  <si>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</si>
  <si>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</si>
  <si>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</si>
  <si>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</si>
  <si>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</si>
  <si>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</si>
  <si>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</si>
  <si>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</si>
  <si>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</si>
  <si>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</si>
  <si>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</si>
  <si>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</si>
  <si>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</si>
  <si>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</si>
  <si>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</si>
  <si>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</si>
  <si>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</si>
  <si>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</si>
  <si>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</si>
  <si>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</si>
  <si>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</si>
  <si>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</si>
  <si>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</si>
  <si>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</si>
  <si>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</si>
  <si>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</si>
  <si>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</si>
  <si>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</si>
  <si>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</si>
  <si>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</si>
  <si>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</si>
  <si>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</si>
  <si>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</si>
  <si>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</si>
  <si>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</si>
  <si>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</si>
  <si>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</si>
  <si>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</si>
  <si>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</si>
  <si>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</si>
  <si>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</si>
  <si>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</si>
  <si>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</si>
  <si>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</si>
  <si>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</si>
  <si>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</si>
  <si>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</si>
  <si>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</si>
  <si>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</si>
  <si>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</si>
  <si>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</si>
  <si>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</si>
  <si>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</si>
  <si>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</si>
  <si>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</si>
  <si>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</si>
  <si>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</si>
  <si>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</si>
  <si>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</si>
  <si>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</si>
  <si>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</si>
  <si>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</si>
  <si>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</si>
  <si>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</si>
  <si>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</si>
  <si>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</si>
  <si>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</si>
  <si>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</si>
  <si>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</si>
  <si>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</si>
  <si>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</si>
  <si>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</si>
  <si>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</si>
  <si>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</si>
  <si>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</si>
  <si>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</si>
  <si>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</si>
  <si>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</si>
  <si>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</si>
  <si>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</si>
  <si>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</si>
  <si>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</si>
  <si>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</si>
  <si>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</si>
  <si>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</si>
  <si>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</si>
  <si>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</si>
  <si>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</si>
  <si>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</si>
  <si>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</si>
  <si>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</si>
  <si>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</si>
  <si>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</si>
  <si>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</si>
  <si>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</si>
  <si>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</si>
  <si>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</si>
  <si>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</si>
  <si>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</si>
  <si>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</si>
  <si>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</si>
  <si>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</si>
  <si>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</si>
  <si>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</si>
  <si>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</si>
  <si>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</si>
  <si>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</si>
  <si>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</si>
  <si>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</si>
  <si>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</si>
  <si>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</si>
  <si>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</si>
  <si>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</si>
  <si>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</si>
  <si>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</si>
  <si>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</si>
  <si>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</si>
  <si>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</si>
  <si>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</si>
  <si>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</si>
  <si>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</si>
  <si>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</si>
  <si>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</si>
  <si>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</si>
  <si>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</si>
  <si>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</si>
  <si>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</si>
  <si>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</si>
  <si>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</si>
  <si>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</si>
  <si>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</si>
  <si>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</si>
  <si>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</si>
  <si>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</si>
  <si>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</si>
  <si>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</si>
  <si>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</si>
  <si>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</si>
  <si>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</si>
  <si>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</si>
  <si>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</si>
  <si>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</si>
  <si>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</si>
  <si>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</si>
  <si>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</si>
  <si>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</si>
  <si>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</si>
  <si>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</si>
  <si>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</si>
  <si>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</si>
  <si>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</si>
  <si>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</si>
  <si>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</si>
  <si>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</si>
  <si>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</si>
  <si>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</si>
  <si>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</si>
  <si>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</si>
  <si>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</si>
  <si>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</si>
  <si>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</si>
  <si>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</si>
  <si>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</si>
  <si>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</si>
  <si>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</si>
  <si>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</si>
  <si>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</si>
  <si>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</si>
  <si>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</si>
  <si>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</si>
  <si>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</si>
  <si>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</si>
  <si>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</si>
  <si>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</si>
  <si>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</si>
  <si>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</si>
  <si>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</si>
  <si>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</si>
  <si>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</si>
  <si>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</si>
  <si>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</si>
  <si>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</si>
  <si>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</si>
  <si>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</si>
  <si>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</si>
  <si>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</si>
  <si>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</si>
  <si>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</si>
  <si>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</si>
  <si>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</si>
  <si>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</si>
  <si>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</si>
  <si>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</si>
  <si>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</si>
  <si>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</si>
  <si>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</si>
  <si>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</si>
  <si>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</si>
  <si>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</si>
  <si>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</si>
  <si>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</si>
  <si>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</si>
  <si>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</si>
  <si>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</si>
  <si>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</si>
  <si>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</si>
  <si>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</si>
  <si>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</si>
  <si>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</si>
  <si>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</si>
  <si>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</si>
  <si>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</si>
  <si>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</si>
  <si>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</si>
  <si>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</si>
  <si>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</si>
  <si>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</si>
  <si>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</si>
  <si>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</si>
  <si>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</si>
  <si>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</si>
  <si>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</si>
  <si>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</si>
  <si>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</si>
  <si>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</si>
  <si>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</si>
  <si>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</si>
  <si>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</si>
  <si>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</si>
  <si>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</si>
  <si>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</si>
  <si>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</si>
  <si>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</si>
  <si>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</si>
  <si>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</si>
  <si>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</si>
  <si>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</si>
  <si>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</si>
  <si>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</si>
  <si>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</si>
  <si>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</si>
  <si>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</si>
  <si>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</si>
  <si>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</si>
  <si>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</si>
  <si>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</si>
  <si>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</si>
  <si>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</si>
  <si>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</si>
  <si>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</si>
  <si>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</si>
  <si>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</si>
  <si>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</si>
  <si>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</si>
  <si>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</si>
  <si>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</si>
  <si>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</si>
  <si>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</si>
  <si>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</si>
  <si>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</si>
  <si>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</si>
  <si>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</si>
  <si>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</si>
  <si>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</si>
  <si>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</si>
  <si>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</si>
  <si>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</si>
  <si>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</si>
  <si>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</si>
  <si>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</si>
  <si>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</si>
  <si>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</si>
  <si>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</si>
  <si>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</si>
  <si>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</si>
  <si>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</si>
  <si>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</si>
  <si>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</si>
  <si>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</si>
  <si>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</si>
  <si>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</si>
  <si>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</si>
  <si>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</si>
  <si>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</si>
  <si>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</si>
  <si>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</si>
  <si>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</si>
  <si>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</si>
  <si>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</si>
  <si>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</si>
  <si>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</si>
  <si>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</si>
  <si>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</si>
  <si>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</si>
  <si>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</si>
  <si>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</si>
  <si>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</si>
  <si>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</si>
  <si>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</si>
  <si>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</si>
  <si>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</si>
  <si>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</si>
  <si>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</si>
  <si>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</si>
  <si>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</si>
  <si>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</si>
  <si>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</si>
  <si>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</si>
  <si>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</si>
  <si>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</si>
  <si>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</si>
  <si>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</si>
  <si>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</si>
  <si>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</si>
  <si>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</si>
  <si>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</si>
  <si>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</si>
  <si>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</si>
  <si>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</si>
  <si>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</si>
  <si>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</si>
  <si>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</si>
  <si>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</si>
  <si>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</si>
  <si>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</si>
  <si>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</si>
  <si>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</si>
  <si>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</si>
  <si>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</si>
  <si>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</si>
  <si>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</si>
  <si>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</si>
  <si>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</si>
  <si>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</si>
  <si>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</si>
  <si>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</si>
  <si>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</si>
  <si>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</si>
  <si>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</si>
  <si>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</si>
  <si>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</si>
  <si>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</si>
  <si>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</si>
  <si>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</si>
  <si>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</si>
  <si>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</si>
  <si>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</si>
  <si>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</si>
  <si>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</si>
  <si>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</si>
  <si>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</si>
  <si>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</si>
  <si>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</si>
  <si>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</si>
  <si>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</si>
  <si>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</si>
  <si>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</si>
  <si>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</si>
  <si>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</si>
  <si>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</si>
  <si>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</si>
  <si>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</si>
  <si>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</si>
  <si>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</si>
  <si>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</si>
  <si>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</si>
  <si>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</si>
  <si>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</si>
  <si>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</si>
  <si>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</si>
  <si>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</si>
  <si>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</si>
  <si>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</si>
  <si>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</si>
  <si>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</si>
  <si>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</si>
  <si>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</si>
  <si>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</si>
  <si>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</si>
  <si>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</si>
  <si>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</si>
  <si>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</si>
  <si>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</si>
  <si>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</si>
  <si>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</si>
  <si>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</si>
  <si>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</si>
  <si>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</si>
  <si>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</si>
  <si>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</si>
  <si>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</si>
  <si>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</si>
  <si>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</si>
  <si>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</si>
  <si>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</si>
  <si>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</si>
  <si>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</si>
  <si>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</si>
  <si>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</si>
  <si>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</si>
  <si>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</si>
  <si>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</si>
  <si>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</si>
  <si>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</si>
  <si>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</si>
  <si>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</si>
  <si>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</si>
  <si>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</si>
  <si>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</si>
  <si>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</si>
  <si>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</si>
  <si>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</si>
  <si>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</si>
  <si>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</si>
  <si>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</si>
  <si>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</si>
  <si>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</si>
  <si>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</si>
  <si>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</si>
  <si>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</si>
  <si>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</si>
  <si>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</si>
  <si>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</si>
  <si>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</si>
  <si>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</si>
  <si>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</si>
  <si>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</si>
  <si>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</si>
  <si>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</si>
  <si>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</si>
  <si>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</si>
  <si>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</si>
  <si>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</si>
  <si>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</si>
  <si>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</si>
  <si>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</si>
  <si>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</si>
  <si>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</si>
  <si>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</si>
  <si>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</si>
  <si>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</si>
  <si>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</si>
  <si>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</si>
  <si>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</si>
  <si>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</si>
  <si>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</si>
  <si>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</si>
  <si>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</si>
  <si>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</si>
  <si>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</si>
  <si>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</si>
  <si>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</si>
  <si>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</si>
  <si>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</si>
  <si>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</si>
  <si>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</si>
  <si>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</si>
  <si>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</si>
  <si>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</si>
  <si>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</si>
  <si>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</si>
  <si>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</si>
  <si>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</si>
  <si>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</si>
  <si>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</si>
  <si>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</si>
  <si>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</si>
  <si>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</si>
  <si>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</si>
  <si>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</si>
  <si>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</si>
  <si>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</si>
  <si>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</si>
  <si>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</si>
  <si>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</si>
  <si>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</si>
  <si>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</si>
  <si>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</si>
  <si>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</si>
  <si>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</si>
  <si>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</si>
  <si>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</si>
  <si>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</si>
  <si>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</si>
  <si>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</si>
  <si>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</si>
  <si>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</si>
  <si>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</si>
  <si>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</si>
  <si>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</si>
  <si>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</si>
  <si>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</si>
  <si>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</si>
  <si>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</si>
  <si>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</si>
  <si>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</si>
  <si>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</si>
  <si>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</si>
  <si>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</si>
  <si>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</si>
  <si>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</si>
  <si>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</si>
  <si>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</si>
  <si>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</si>
  <si>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</si>
  <si>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</si>
  <si>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</si>
  <si>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</si>
  <si>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</si>
  <si>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</si>
  <si>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</si>
  <si>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</si>
  <si>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</si>
  <si>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</si>
  <si>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</si>
  <si>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</si>
  <si>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</si>
  <si>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</si>
  <si>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</si>
  <si>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</si>
  <si>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</si>
  <si>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</si>
  <si>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</si>
  <si>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</si>
  <si>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</si>
  <si>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</si>
  <si>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</si>
  <si>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</si>
  <si>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</si>
  <si>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</si>
  <si>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</si>
  <si>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</si>
  <si>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</si>
  <si>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</si>
  <si>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</si>
  <si>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</si>
  <si>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</si>
  <si>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</si>
  <si>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</si>
  <si>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</si>
  <si>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</si>
  <si>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</si>
  <si>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</si>
  <si>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</si>
  <si>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</si>
  <si>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</si>
  <si>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</si>
  <si>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</si>
  <si>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</si>
  <si>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</si>
  <si>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</si>
  <si>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</si>
  <si>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</si>
  <si>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</si>
  <si>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</si>
  <si>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</si>
  <si>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</si>
  <si>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</si>
  <si>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</si>
  <si>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</si>
  <si>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</si>
  <si>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</si>
  <si>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</si>
  <si>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</si>
  <si>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</si>
  <si>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</si>
  <si>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</si>
  <si>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</si>
  <si>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</si>
  <si>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</si>
  <si>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</si>
  <si>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</si>
  <si>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</si>
  <si>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</si>
  <si>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</si>
  <si>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</si>
  <si>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</si>
  <si>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</si>
  <si>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</si>
  <si>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</si>
  <si>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</si>
  <si>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</si>
  <si>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</si>
  <si>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</si>
  <si>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</si>
  <si>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</si>
  <si>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</si>
  <si>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</si>
  <si>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</si>
  <si>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</si>
  <si>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</si>
  <si>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</si>
  <si>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</si>
  <si>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</si>
  <si>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</si>
  <si>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</si>
  <si>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</si>
  <si>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</si>
  <si>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</si>
  <si>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</si>
  <si>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</si>
  <si>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</si>
  <si>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</si>
  <si>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</si>
  <si>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</si>
  <si>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</si>
  <si>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</si>
  <si>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</si>
  <si>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</si>
  <si>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</si>
  <si>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</si>
  <si>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</si>
  <si>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</si>
  <si>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</si>
  <si>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</si>
  <si>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</si>
  <si>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</si>
  <si>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</si>
  <si>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</si>
  <si>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</si>
  <si>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</si>
  <si>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</si>
  <si>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</si>
  <si>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</si>
  <si>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</si>
  <si>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</si>
  <si>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</si>
  <si>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</si>
  <si>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</si>
  <si>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</si>
  <si>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</si>
  <si>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</si>
  <si>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</si>
  <si>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</si>
  <si>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</si>
  <si>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</si>
  <si>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</si>
  <si>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</si>
  <si>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</si>
  <si>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</si>
  <si>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</si>
  <si>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</si>
  <si>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</si>
  <si>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</si>
  <si>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</si>
  <si>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</si>
  <si>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</si>
  <si>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</si>
  <si>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</si>
  <si>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</si>
  <si>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</si>
  <si>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</si>
  <si>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</si>
  <si>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</si>
  <si>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</si>
  <si>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</si>
  <si>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</si>
  <si>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</si>
  <si>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</si>
  <si>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</si>
  <si>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</si>
  <si>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</si>
  <si>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</si>
  <si>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</si>
  <si>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</si>
  <si>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</si>
  <si>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</si>
  <si>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</si>
  <si>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</si>
  <si>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</si>
  <si>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</si>
  <si>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</si>
  <si>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</si>
  <si>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</si>
  <si>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</si>
  <si>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</si>
  <si>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</si>
  <si>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</si>
  <si>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</si>
  <si>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</si>
  <si>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</si>
  <si>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</si>
  <si>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</si>
  <si>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</si>
  <si>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</si>
  <si>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</si>
  <si>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</si>
  <si>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</si>
  <si>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</si>
  <si>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</si>
  <si>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</si>
  <si>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</si>
  <si>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</si>
  <si>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</si>
  <si>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</si>
  <si>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</si>
  <si>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</si>
  <si>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</si>
  <si>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</si>
  <si>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</si>
  <si>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</si>
  <si>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</si>
  <si>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</si>
  <si>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</si>
  <si>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</si>
  <si>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</si>
  <si>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</si>
  <si>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</si>
  <si>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</si>
  <si>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</si>
  <si>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</si>
  <si>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</si>
  <si>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</si>
  <si>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</si>
  <si>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</si>
  <si>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</si>
  <si>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</si>
  <si>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</si>
  <si>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</si>
  <si>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</si>
  <si>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</si>
  <si>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</si>
  <si>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</si>
  <si>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</si>
  <si>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</si>
  <si>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</si>
  <si>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</si>
  <si>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</si>
  <si>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</si>
  <si>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</si>
  <si>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</si>
  <si>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</si>
  <si>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</si>
  <si>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</si>
  <si>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</si>
  <si>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</si>
  <si>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</si>
  <si>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</si>
  <si>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</si>
  <si>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</si>
  <si>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</si>
  <si>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</si>
  <si>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</si>
  <si>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</si>
  <si>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</si>
  <si>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</si>
  <si>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</si>
  <si>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</si>
  <si>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</si>
  <si>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</si>
  <si>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</si>
  <si>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</si>
  <si>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</si>
  <si>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</si>
  <si>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</si>
  <si>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</si>
  <si>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</si>
  <si>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</si>
  <si>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</si>
  <si>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</si>
  <si>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</si>
  <si>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</si>
  <si>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</si>
  <si>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</si>
  <si>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</si>
  <si>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</si>
  <si>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</si>
  <si>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</si>
  <si>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</si>
  <si>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</si>
  <si>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</si>
  <si>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</si>
  <si>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</si>
  <si>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</si>
  <si>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</si>
  <si>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</si>
  <si>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</si>
  <si>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</si>
  <si>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</si>
  <si>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</si>
  <si>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</si>
  <si>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</si>
  <si>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</si>
  <si>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</si>
  <si>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</si>
  <si>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</si>
  <si>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</si>
  <si>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</si>
  <si>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</si>
  <si>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</si>
  <si>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</si>
  <si>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</si>
  <si>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</si>
  <si>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</si>
  <si>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</si>
  <si>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</si>
  <si>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</si>
  <si>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</si>
  <si>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</si>
  <si>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</si>
  <si>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</si>
  <si>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</si>
  <si>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</si>
  <si>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</si>
  <si>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</si>
  <si>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</si>
  <si>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</si>
  <si>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</si>
  <si>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</si>
  <si>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</si>
  <si>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</si>
  <si>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</si>
  <si>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</si>
  <si>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</si>
  <si>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</si>
  <si>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</si>
  <si>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</si>
  <si>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</si>
  <si>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</si>
  <si>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</si>
  <si>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</si>
  <si>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</si>
  <si>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</si>
  <si>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</si>
  <si>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</si>
  <si>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</si>
  <si>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</si>
  <si>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</si>
  <si>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</si>
  <si>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</si>
  <si>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</si>
  <si>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</si>
  <si>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</si>
  <si>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</si>
  <si>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</si>
  <si>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</si>
  <si>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</si>
  <si>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</si>
  <si>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</si>
  <si>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</si>
  <si>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</si>
  <si>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</si>
  <si>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</si>
  <si>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</si>
  <si>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</si>
  <si>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</si>
  <si>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</si>
  <si>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</si>
  <si>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</si>
  <si>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</si>
  <si>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</si>
  <si>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</si>
  <si>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</si>
  <si>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</si>
  <si>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</si>
  <si>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</si>
  <si>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</si>
  <si>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</si>
  <si>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</si>
  <si>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</si>
  <si>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</si>
  <si>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</si>
  <si>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</si>
  <si>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</si>
  <si>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</si>
  <si>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</si>
  <si>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</si>
  <si>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</si>
  <si>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</si>
  <si>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</si>
  <si>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</si>
  <si>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</si>
  <si>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</si>
  <si>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</si>
  <si>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</si>
  <si>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</si>
  <si>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</si>
  <si>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</si>
  <si>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</si>
  <si>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</si>
  <si>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</si>
  <si>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</si>
  <si>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</si>
  <si>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</si>
  <si>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</si>
  <si>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</si>
  <si>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</si>
  <si>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</si>
  <si>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</si>
  <si>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</si>
  <si>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</si>
  <si>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</si>
  <si>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</si>
  <si>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</si>
  <si>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</si>
  <si>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</si>
  <si>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</si>
  <si>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</si>
  <si>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</si>
  <si>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</si>
  <si>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</si>
  <si>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</si>
  <si>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</si>
  <si>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</si>
  <si>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</si>
  <si>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</si>
  <si>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</si>
  <si>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</si>
  <si>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</si>
  <si>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</si>
  <si>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</si>
  <si>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</si>
  <si>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</si>
  <si>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</si>
  <si>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</si>
  <si>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</si>
  <si>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</si>
  <si>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</si>
  <si>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</si>
  <si>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</si>
  <si>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</si>
  <si>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</si>
  <si>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</si>
  <si>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</si>
  <si>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</si>
  <si>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</si>
  <si>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</si>
  <si>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</si>
  <si>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</si>
  <si>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</si>
  <si>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</si>
  <si>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</si>
  <si>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</si>
  <si>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</si>
  <si>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</si>
  <si>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</si>
  <si>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</si>
  <si>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</si>
  <si>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</si>
  <si>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</si>
  <si>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</si>
  <si>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</si>
  <si>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</si>
  <si>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</si>
  <si>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</si>
  <si>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</si>
  <si>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</si>
  <si>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</si>
  <si>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</si>
  <si>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</si>
  <si>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</si>
  <si>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</si>
  <si>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</si>
  <si>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</si>
  <si>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</si>
  <si>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</si>
  <si>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</si>
  <si>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</si>
  <si>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</si>
  <si>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</si>
  <si>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</si>
  <si>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</si>
  <si>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</si>
  <si>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</si>
  <si>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</si>
  <si>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</si>
  <si>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</si>
  <si>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</si>
  <si>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</si>
  <si>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</si>
  <si>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</si>
  <si>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</si>
  <si>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</si>
  <si>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</si>
  <si>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</si>
  <si>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</si>
  <si>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</si>
  <si>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</si>
  <si>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</si>
  <si>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</si>
  <si>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</si>
  <si>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</si>
  <si>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</si>
  <si>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</si>
  <si>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</si>
  <si>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</si>
  <si>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</si>
  <si>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</si>
  <si>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</si>
  <si>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</si>
  <si>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</si>
  <si>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</si>
  <si>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</si>
  <si>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</si>
  <si>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</si>
  <si>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</si>
  <si>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</si>
  <si>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</si>
  <si>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</si>
  <si>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</si>
  <si>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</si>
  <si>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</si>
  <si>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</si>
  <si>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</si>
  <si>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</si>
  <si>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</si>
  <si>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</si>
  <si>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</si>
  <si>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</si>
  <si>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</si>
  <si>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</si>
  <si>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</si>
  <si>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</si>
  <si>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</si>
  <si>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</si>
  <si>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</si>
  <si>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</si>
  <si>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</si>
  <si>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</si>
  <si>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</si>
  <si>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</si>
  <si>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</si>
  <si>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</si>
  <si>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</si>
  <si>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</si>
  <si>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</si>
  <si>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</si>
  <si>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</si>
  <si>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</si>
  <si>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</si>
  <si>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</si>
  <si>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</si>
  <si>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</si>
  <si>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</si>
  <si>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</si>
  <si>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</si>
  <si>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</si>
  <si>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</si>
  <si>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</si>
  <si>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</si>
  <si>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</si>
  <si>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</si>
  <si>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</si>
  <si>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</si>
  <si>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</si>
  <si>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</si>
  <si>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</si>
  <si>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</si>
  <si>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</si>
  <si>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</si>
  <si>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</si>
  <si>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</si>
  <si>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</si>
  <si>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</si>
  <si>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</si>
  <si>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</si>
  <si>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</si>
  <si>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</si>
  <si>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</si>
  <si>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</si>
  <si>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</si>
  <si>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</si>
  <si>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</si>
  <si>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</si>
  <si>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</si>
  <si>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</si>
  <si>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</si>
  <si>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</si>
  <si>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</si>
  <si>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</si>
  <si>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</si>
  <si>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</si>
  <si>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</si>
  <si>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</si>
  <si>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</si>
  <si>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</si>
  <si>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</si>
  <si>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</si>
  <si>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</si>
  <si>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</si>
  <si>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</si>
  <si>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</si>
  <si>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</si>
  <si>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</si>
  <si>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</si>
  <si>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</si>
  <si>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</si>
  <si>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</si>
  <si>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</si>
  <si>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</si>
  <si>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</si>
  <si>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</si>
  <si>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</si>
  <si>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</si>
  <si>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</si>
  <si>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</si>
  <si>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</si>
  <si>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</si>
  <si>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</si>
  <si>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</si>
  <si>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</si>
  <si>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</si>
  <si>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</si>
  <si>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</si>
  <si>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</si>
  <si>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</si>
  <si>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</si>
  <si>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</si>
  <si>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</si>
  <si>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</si>
  <si>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</si>
  <si>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</si>
  <si>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</si>
  <si>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</si>
  <si>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</si>
  <si>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</si>
  <si>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</si>
  <si>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</si>
  <si>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</si>
  <si>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</si>
  <si>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</si>
  <si>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</si>
  <si>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</si>
  <si>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</si>
  <si>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</si>
  <si>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</si>
  <si>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</si>
  <si>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</si>
  <si>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</si>
  <si>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</si>
  <si>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</si>
  <si>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</si>
  <si>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</si>
  <si>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</si>
  <si>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</si>
  <si>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</si>
  <si>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</si>
  <si>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</si>
  <si>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</si>
  <si>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</si>
  <si>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</si>
  <si>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</si>
  <si>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</si>
  <si>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</si>
  <si>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</si>
  <si>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</si>
  <si>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</si>
  <si>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</si>
  <si>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</si>
  <si>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</si>
  <si>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</si>
  <si>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</si>
  <si>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</si>
  <si>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</si>
  <si>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</si>
  <si>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</si>
  <si>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</si>
  <si>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</si>
  <si>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</si>
  <si>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</si>
  <si>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</si>
  <si>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</si>
  <si>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</si>
  <si>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</si>
  <si>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</si>
  <si>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</si>
  <si>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</si>
  <si>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</si>
  <si>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</si>
  <si>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</si>
  <si>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</si>
  <si>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</si>
  <si>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</si>
  <si>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</si>
  <si>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</si>
  <si>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</si>
  <si>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</si>
  <si>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</si>
  <si>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</si>
  <si>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</si>
  <si>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</si>
  <si>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</si>
  <si>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</si>
  <si>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</si>
  <si>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</si>
  <si>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</si>
  <si>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</si>
  <si>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</si>
  <si>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</si>
  <si>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</si>
  <si>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</si>
  <si>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</si>
  <si>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</si>
  <si>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</si>
  <si>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</si>
  <si>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</si>
  <si>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</si>
  <si>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</si>
  <si>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</si>
  <si>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</si>
  <si>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</si>
  <si>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</si>
  <si>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</si>
  <si>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</si>
  <si>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</si>
  <si>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</si>
  <si>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</si>
  <si>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</si>
  <si>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</si>
  <si>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</si>
  <si>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</si>
  <si>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</si>
  <si>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</si>
  <si>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</si>
  <si>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</si>
  <si>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</si>
  <si>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</si>
  <si>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</si>
  <si>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</si>
  <si>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</si>
  <si>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</si>
  <si>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</si>
  <si>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</si>
  <si>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</si>
  <si>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</si>
  <si>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</si>
  <si>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</si>
  <si>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</si>
  <si>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</si>
  <si>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</si>
  <si>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</si>
  <si>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</si>
  <si>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</si>
  <si>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</si>
  <si>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</si>
  <si>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</si>
  <si>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</si>
  <si>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</si>
  <si>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</si>
  <si>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</si>
  <si>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</si>
  <si>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</si>
  <si>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</si>
  <si>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</si>
  <si>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</si>
  <si>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</si>
  <si>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</si>
  <si>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</si>
  <si>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</si>
  <si>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</si>
  <si>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</si>
  <si>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</si>
  <si>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</si>
  <si>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</si>
  <si>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</si>
  <si>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</si>
  <si>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</si>
  <si>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</si>
  <si>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</si>
  <si>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</si>
  <si>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</si>
  <si>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</si>
  <si>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</si>
  <si>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</si>
  <si>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</si>
  <si>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</si>
  <si>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</si>
  <si>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</si>
  <si>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</si>
  <si>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</si>
  <si>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</si>
  <si>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</si>
  <si>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</si>
  <si>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</si>
  <si>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</si>
  <si>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</si>
  <si>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</si>
  <si>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</si>
  <si>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</si>
  <si>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</si>
  <si>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</si>
  <si>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</si>
  <si>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</si>
  <si>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</si>
  <si>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</si>
  <si>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</si>
  <si>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</si>
  <si>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</si>
  <si>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</si>
  <si>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</si>
  <si>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</si>
  <si>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</si>
  <si>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</si>
  <si>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</si>
  <si>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</si>
  <si>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</si>
  <si>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</si>
  <si>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</si>
  <si>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</si>
  <si>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</si>
  <si>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</si>
  <si>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</si>
  <si>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</si>
  <si>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</si>
  <si>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</si>
  <si>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</si>
  <si>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</si>
  <si>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</si>
  <si>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</si>
  <si>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</si>
  <si>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</si>
  <si>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</si>
  <si>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</si>
  <si>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</si>
  <si>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</si>
  <si>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</si>
  <si>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</si>
  <si>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</si>
  <si>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</si>
  <si>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</si>
  <si>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</si>
  <si>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</si>
  <si>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</si>
  <si>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</si>
  <si>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</si>
  <si>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</si>
  <si>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</si>
  <si>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</si>
  <si>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</si>
  <si>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</si>
  <si>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</si>
  <si>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</si>
  <si>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</si>
  <si>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</si>
  <si>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</si>
  <si>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</si>
  <si>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</si>
  <si>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</si>
  <si>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</si>
  <si>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</si>
  <si>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</si>
  <si>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</si>
  <si>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</si>
  <si>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</si>
  <si>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</si>
  <si>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</si>
  <si>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</si>
  <si>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</si>
  <si>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</si>
  <si>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</si>
  <si>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</si>
  <si>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</si>
  <si>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</si>
  <si>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</si>
  <si>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</si>
  <si>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</si>
  <si>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</si>
  <si>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</si>
  <si>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</si>
  <si>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</si>
  <si>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</si>
  <si>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</si>
  <si>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</si>
  <si>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</si>
  <si>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</si>
  <si>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</si>
  <si>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</si>
  <si>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</si>
  <si>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</si>
  <si>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</si>
  <si>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</si>
  <si>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</si>
  <si>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</si>
  <si>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</si>
  <si>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</si>
  <si>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</si>
  <si>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</si>
  <si>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</si>
  <si>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</si>
  <si>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</si>
  <si>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</si>
  <si>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</si>
  <si>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</si>
  <si>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</si>
  <si>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</si>
  <si>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</si>
  <si>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</si>
  <si>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</si>
  <si>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</si>
  <si>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</si>
  <si>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</si>
  <si>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</si>
  <si>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</si>
  <si>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</si>
  <si>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</si>
  <si>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</si>
  <si>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</si>
  <si>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</si>
  <si>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</si>
  <si>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</si>
  <si>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</si>
  <si>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</si>
  <si>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</si>
  <si>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</si>
  <si>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</si>
  <si>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</si>
  <si>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</si>
  <si>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</si>
  <si>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</si>
  <si>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</si>
  <si>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</si>
  <si>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</si>
  <si>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</si>
  <si>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</si>
  <si>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</si>
  <si>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</si>
  <si>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</si>
  <si>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</si>
  <si>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</si>
  <si>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</si>
  <si>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</si>
  <si>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</si>
  <si>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</si>
  <si>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</si>
  <si>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</si>
  <si>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</si>
  <si>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</si>
  <si>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</si>
  <si>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</si>
  <si>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</si>
  <si>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</si>
  <si>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</si>
  <si>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</si>
  <si>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</si>
  <si>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</si>
  <si>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</si>
  <si>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</si>
  <si>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</si>
  <si>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</si>
  <si>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</si>
  <si>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</si>
  <si>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</si>
  <si>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</si>
  <si>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</si>
  <si>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</si>
  <si>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</si>
  <si>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</si>
  <si>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</si>
  <si>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</si>
  <si>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</si>
  <si>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</si>
  <si>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</si>
  <si>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</si>
  <si>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</si>
  <si>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</si>
  <si>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</si>
  <si>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</si>
  <si>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</si>
  <si>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</si>
  <si>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</si>
  <si>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</si>
  <si>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</si>
  <si>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</si>
  <si>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</si>
  <si>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</si>
  <si>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</si>
  <si>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</si>
  <si>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</si>
  <si>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</si>
  <si>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</si>
  <si>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</si>
  <si>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</si>
  <si>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</si>
  <si>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</si>
  <si>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</si>
  <si>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</si>
  <si>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</si>
  <si>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</si>
  <si>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</si>
  <si>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</si>
  <si>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</si>
  <si>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</si>
  <si>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</si>
  <si>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</si>
  <si>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</si>
  <si>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</si>
  <si>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</si>
  <si>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</si>
  <si>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</si>
  <si>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</si>
  <si>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</si>
  <si>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</si>
  <si>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</si>
  <si>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</si>
  <si>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</si>
  <si>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</si>
  <si>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</si>
  <si>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</si>
  <si>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</si>
  <si>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</si>
  <si>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</si>
  <si>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</si>
  <si>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</si>
  <si>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</si>
  <si>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</si>
  <si>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</si>
  <si>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</si>
  <si>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</si>
  <si>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</si>
  <si>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</si>
  <si>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</si>
  <si>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</si>
  <si>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</si>
  <si>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</si>
  <si>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</si>
  <si>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</si>
  <si>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</si>
  <si>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</si>
  <si>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</si>
  <si>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</si>
  <si>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</si>
  <si>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</si>
  <si>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</si>
  <si>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</si>
  <si>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</si>
  <si>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</si>
  <si>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</si>
  <si>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</si>
  <si>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</si>
  <si>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</si>
  <si>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</si>
  <si>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</si>
  <si>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</si>
  <si>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</si>
  <si>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</si>
  <si>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</si>
  <si>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</si>
  <si>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</si>
  <si>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</si>
  <si>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</si>
  <si>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</si>
  <si>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</si>
  <si>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</si>
  <si>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</si>
  <si>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</si>
  <si>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</si>
  <si>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</si>
  <si>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</si>
  <si>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</si>
  <si>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</si>
  <si>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</si>
  <si>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</si>
  <si>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</si>
  <si>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</si>
  <si>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</si>
  <si>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</si>
  <si>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</si>
  <si>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</si>
  <si>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</si>
  <si>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</si>
  <si>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</si>
  <si>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</si>
  <si>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</si>
  <si>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</si>
  <si>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</si>
  <si>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</si>
  <si>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</si>
  <si>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</si>
  <si>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</si>
  <si>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</si>
  <si>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</si>
  <si>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</si>
  <si>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</si>
  <si>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</si>
  <si>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</si>
  <si>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</si>
  <si>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</si>
  <si>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</si>
  <si>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</si>
  <si>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</si>
  <si>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</si>
  <si>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</si>
  <si>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</si>
  <si>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</si>
  <si>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</si>
  <si>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</si>
  <si>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</si>
  <si>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</si>
  <si>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</si>
  <si>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</si>
  <si>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</si>
  <si>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</si>
  <si>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</si>
  <si>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</si>
  <si>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</si>
  <si>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</si>
  <si>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</si>
  <si>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</si>
  <si>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</si>
  <si>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</si>
  <si>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</si>
  <si>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</si>
  <si>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</si>
  <si>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</si>
  <si>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</si>
  <si>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</si>
  <si>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</si>
  <si>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</si>
  <si>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</si>
  <si>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</si>
  <si>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</si>
  <si>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</si>
  <si>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</si>
  <si>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</si>
  <si>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</si>
  <si>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</si>
  <si>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</si>
  <si>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</si>
  <si>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</si>
  <si>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</si>
  <si>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</si>
  <si>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</si>
  <si>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</si>
  <si>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</si>
  <si>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</si>
  <si>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</si>
  <si>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</si>
  <si>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</si>
  <si>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</si>
  <si>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</si>
  <si>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</si>
  <si>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</si>
  <si>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</si>
  <si>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</si>
  <si>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</si>
  <si>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</si>
  <si>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</si>
  <si>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</si>
  <si>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</si>
  <si>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</si>
  <si>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</si>
  <si>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</si>
  <si>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</si>
  <si>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</si>
  <si>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</si>
  <si>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</si>
  <si>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</si>
  <si>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</si>
  <si>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</si>
  <si>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</si>
  <si>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</si>
  <si>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</si>
  <si>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</si>
  <si>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</si>
  <si>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</si>
  <si>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</si>
  <si>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</si>
  <si>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</si>
  <si>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</si>
  <si>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</si>
  <si>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</si>
  <si>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</si>
  <si>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</si>
  <si>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</si>
  <si>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</si>
  <si>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</si>
  <si>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</si>
  <si>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</si>
  <si>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</si>
  <si>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</si>
  <si>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</si>
  <si>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</si>
  <si>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</si>
  <si>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</si>
  <si>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</si>
  <si>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</si>
  <si>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</si>
  <si>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</si>
  <si>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</si>
  <si>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</si>
  <si>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</si>
  <si>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</si>
  <si>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</si>
  <si>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</si>
  <si>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</si>
  <si>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</si>
  <si>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</si>
  <si>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</si>
  <si>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</si>
  <si>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</si>
  <si>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</si>
  <si>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</si>
  <si>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</si>
  <si>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</si>
  <si>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</si>
  <si>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</si>
  <si>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</si>
  <si>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</si>
  <si>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</si>
  <si>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</si>
  <si>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</si>
  <si>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</si>
  <si>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</si>
  <si>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</si>
  <si>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</si>
  <si>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</si>
  <si>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</si>
  <si>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</si>
  <si>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</si>
  <si>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</si>
  <si>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</si>
  <si>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</si>
  <si>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</si>
  <si>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</si>
  <si>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</si>
  <si>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</si>
  <si>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</si>
  <si>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</si>
  <si>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</si>
  <si>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</si>
  <si>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</si>
  <si>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</si>
  <si>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</si>
  <si>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</si>
  <si>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</si>
  <si>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</si>
  <si>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</si>
  <si>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</si>
  <si>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</si>
  <si>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</si>
  <si>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</si>
  <si>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</si>
  <si>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</si>
  <si>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</si>
  <si>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</si>
  <si>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</si>
  <si>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</si>
  <si>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</si>
  <si>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</si>
  <si>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</si>
  <si>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</si>
  <si>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</si>
  <si>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</si>
  <si>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</si>
  <si>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</si>
  <si>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</si>
  <si>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</si>
  <si>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</si>
  <si>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</si>
  <si>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</si>
  <si>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</si>
  <si>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</si>
  <si>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</si>
  <si>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</si>
  <si>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</si>
  <si>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</si>
  <si>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</si>
  <si>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</si>
  <si>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</si>
  <si>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</si>
  <si>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</si>
  <si>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</si>
  <si>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</si>
  <si>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</si>
  <si>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</si>
  <si>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</si>
  <si>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</si>
  <si>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</si>
  <si>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</si>
  <si>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</si>
  <si>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</si>
  <si>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</si>
  <si>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</si>
  <si>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</si>
  <si>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</si>
  <si>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</si>
  <si>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</si>
  <si>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</si>
  <si>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</si>
  <si>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</si>
  <si>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</si>
  <si>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</si>
  <si>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</si>
  <si>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</si>
  <si>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</si>
  <si>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</si>
  <si>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</si>
  <si>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</si>
  <si>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</si>
  <si>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</si>
  <si>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</si>
  <si>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</si>
  <si>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</si>
  <si>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</si>
  <si>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</si>
  <si>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</si>
  <si>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</si>
  <si>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</si>
  <si>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</si>
  <si>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</si>
  <si>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</si>
  <si>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</si>
  <si>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</si>
  <si>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</si>
  <si>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</si>
  <si>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</si>
  <si>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</si>
  <si>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</si>
  <si>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</si>
  <si>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</si>
  <si>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</si>
  <si>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</si>
  <si>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</si>
  <si>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</si>
  <si>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</si>
  <si>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</si>
  <si>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</si>
  <si>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</si>
  <si>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</si>
  <si>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</si>
  <si>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</si>
  <si>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</si>
  <si>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</si>
  <si>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</si>
  <si>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</si>
  <si>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</si>
  <si>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</si>
  <si>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</si>
  <si>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</si>
  <si>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</si>
  <si>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</si>
  <si>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</si>
  <si>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</si>
  <si>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</si>
  <si>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</si>
  <si>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</si>
  <si>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</si>
  <si>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</si>
  <si>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</si>
  <si>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</si>
  <si>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</si>
  <si>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</si>
  <si>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</si>
  <si>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</si>
  <si>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</si>
  <si>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</si>
  <si>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</si>
  <si>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</si>
  <si>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</si>
  <si>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</si>
  <si>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</si>
  <si>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</si>
  <si>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</si>
  <si>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</si>
  <si>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</si>
  <si>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</si>
  <si>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</si>
  <si>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</si>
  <si>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</si>
  <si>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</si>
  <si>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</si>
  <si>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</si>
  <si>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</si>
  <si>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</si>
  <si>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</si>
  <si>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</si>
  <si>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</si>
  <si>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</si>
  <si>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</si>
  <si>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</si>
  <si>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</si>
  <si>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</si>
  <si>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</si>
  <si>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</si>
  <si>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</si>
  <si>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</si>
  <si>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</si>
  <si>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</si>
  <si>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</si>
  <si>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</si>
  <si>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</si>
  <si>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</si>
  <si>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</si>
  <si>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</si>
  <si>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</si>
  <si>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</si>
  <si>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</si>
  <si>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</si>
  <si>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</si>
  <si>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</si>
  <si>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</si>
  <si>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</si>
  <si>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</si>
  <si>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</si>
  <si>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</si>
  <si>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</si>
  <si>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</si>
  <si>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</si>
  <si>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</si>
  <si>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</si>
  <si>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</si>
  <si>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</si>
  <si>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</si>
  <si>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</si>
  <si>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</si>
  <si>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</si>
  <si>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</si>
  <si>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</si>
  <si>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</si>
  <si>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</si>
  <si>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</si>
  <si>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</si>
  <si>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</si>
  <si>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</si>
  <si>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</si>
  <si>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</si>
  <si>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</si>
  <si>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</si>
  <si>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</si>
  <si>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</si>
  <si>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</si>
  <si>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</si>
  <si>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</si>
  <si>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</si>
  <si>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</si>
  <si>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</si>
  <si>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</si>
  <si>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</si>
  <si>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</si>
  <si>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</si>
  <si>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</si>
  <si>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</si>
  <si>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</si>
  <si>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</si>
  <si>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</si>
  <si>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</si>
  <si>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</si>
  <si>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</si>
  <si>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</si>
  <si>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</si>
  <si>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</si>
  <si>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</si>
  <si>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</si>
  <si>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</si>
  <si>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</si>
  <si>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</si>
  <si>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</si>
  <si>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</si>
  <si>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</si>
  <si>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</si>
  <si>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</si>
  <si>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</si>
  <si>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</si>
  <si>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</si>
  <si>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</si>
  <si>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</si>
  <si>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</si>
  <si>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</si>
  <si>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</si>
  <si>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</si>
  <si>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</si>
  <si>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</si>
  <si>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</si>
  <si>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</si>
  <si>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</si>
  <si>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</si>
  <si>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</si>
  <si>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</si>
  <si>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</si>
  <si>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</si>
  <si>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</si>
  <si>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</si>
  <si>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</si>
  <si>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</si>
  <si>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</si>
  <si>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</si>
  <si>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</si>
  <si>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</si>
  <si>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</si>
  <si>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</si>
  <si>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</si>
  <si>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</si>
  <si>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</si>
  <si>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</si>
  <si>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</si>
  <si>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</si>
  <si>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</si>
  <si>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</si>
  <si>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</si>
  <si>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</si>
  <si>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</si>
  <si>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</si>
  <si>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</si>
  <si>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</si>
  <si>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</si>
  <si>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</si>
  <si>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</si>
  <si>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</si>
  <si>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</si>
  <si>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</si>
  <si>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</si>
  <si>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</si>
  <si>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</si>
  <si>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</si>
  <si>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</si>
  <si>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</si>
  <si>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</si>
  <si>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</si>
  <si>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</si>
  <si>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</si>
  <si>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</si>
  <si>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</si>
  <si>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</si>
  <si>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</si>
  <si>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</si>
  <si>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</si>
  <si>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</si>
  <si>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</si>
  <si>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</si>
  <si>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</si>
  <si>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</si>
  <si>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</si>
  <si>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</si>
  <si>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</si>
  <si>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</si>
  <si>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</si>
  <si>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</si>
  <si>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</si>
  <si>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</si>
  <si>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</si>
  <si>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</si>
  <si>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</si>
  <si>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</si>
  <si>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</si>
  <si>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</si>
  <si>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</si>
  <si>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</si>
  <si>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</si>
  <si>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</si>
  <si>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</si>
  <si>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</si>
  <si>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</si>
  <si>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</si>
  <si>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</si>
  <si>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</si>
  <si>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</si>
  <si>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</si>
  <si>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</si>
  <si>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</si>
  <si>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</si>
  <si>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</si>
  <si>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</si>
  <si>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</si>
  <si>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</si>
  <si>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</si>
  <si>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</si>
  <si>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</si>
  <si>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</si>
  <si>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</si>
  <si>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</si>
  <si>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</si>
  <si>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</si>
  <si>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</si>
  <si>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</si>
  <si>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</si>
  <si>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</si>
  <si>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</si>
  <si>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</si>
  <si>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</si>
  <si>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</si>
  <si>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</si>
  <si>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</si>
  <si>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</si>
  <si>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</si>
  <si>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</si>
  <si>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</si>
  <si>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</si>
  <si>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</si>
  <si>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</si>
  <si>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</si>
  <si>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</si>
  <si>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</si>
  <si>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</si>
  <si>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</si>
  <si>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</si>
  <si>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</si>
  <si>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</si>
  <si>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</si>
  <si>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</si>
  <si>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</si>
  <si>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</si>
  <si>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</si>
  <si>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</si>
  <si>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</si>
  <si>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</si>
  <si>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</si>
  <si>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</si>
  <si>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</si>
  <si>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</si>
  <si>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</si>
  <si>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</si>
  <si>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</si>
  <si>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</si>
  <si>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</si>
  <si>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</si>
  <si>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</si>
  <si>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</si>
  <si>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</si>
  <si>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</si>
  <si>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</si>
  <si>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</si>
  <si>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</si>
  <si>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</si>
  <si>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</si>
  <si>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</si>
  <si>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</si>
  <si>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</si>
  <si>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</si>
  <si>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</si>
  <si>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</si>
  <si>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</si>
  <si>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</si>
  <si>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</si>
  <si>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</si>
  <si>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</si>
  <si>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</si>
  <si>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</si>
  <si>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</si>
  <si>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</si>
  <si>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</si>
  <si>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</si>
  <si>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</si>
  <si>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</si>
  <si>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</si>
  <si>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</si>
  <si>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</si>
  <si>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</si>
  <si>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</si>
  <si>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</si>
  <si>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</si>
  <si>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</si>
  <si>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</si>
  <si>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</si>
  <si>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</si>
  <si>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</si>
  <si>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</si>
  <si>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</si>
  <si>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</si>
  <si>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</si>
  <si>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</si>
  <si>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</si>
  <si>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</si>
  <si>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</si>
  <si>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</si>
  <si>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</si>
  <si>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</si>
  <si>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</si>
  <si>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</si>
  <si>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</si>
  <si>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</si>
  <si>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</si>
  <si>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</si>
  <si>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</si>
  <si>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</si>
  <si>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</si>
  <si>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</si>
  <si>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</si>
  <si>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</si>
  <si>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</si>
  <si>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</si>
  <si>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</si>
  <si>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</si>
  <si>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</si>
  <si>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</si>
  <si>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</si>
  <si>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</si>
  <si>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</si>
  <si>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</si>
  <si>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</si>
  <si>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</si>
  <si>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</si>
  <si>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</si>
  <si>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</si>
  <si>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</si>
  <si>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</si>
  <si>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</si>
  <si>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</si>
  <si>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</si>
  <si>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</si>
  <si>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</si>
  <si>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</si>
  <si>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</si>
  <si>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</si>
  <si>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</si>
  <si>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</si>
  <si>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</si>
  <si>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</si>
  <si>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</si>
  <si>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</si>
  <si>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</si>
  <si>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</si>
  <si>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</si>
  <si>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</si>
  <si>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</si>
  <si>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</si>
  <si>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</si>
  <si>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</si>
  <si>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</si>
  <si>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</si>
  <si>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</si>
  <si>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</si>
  <si>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</si>
  <si>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</si>
  <si>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</si>
  <si>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</si>
  <si>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</si>
  <si>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</si>
  <si>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</si>
  <si>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</si>
  <si>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</si>
  <si>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</si>
  <si>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</si>
  <si>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</si>
  <si>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</si>
  <si>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</si>
  <si>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</si>
  <si>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</si>
  <si>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</si>
  <si>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</si>
  <si>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</si>
  <si>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</si>
  <si>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</si>
  <si>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</si>
  <si>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</si>
  <si>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</si>
  <si>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</si>
  <si>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</si>
  <si>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</si>
  <si>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</si>
  <si>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</si>
  <si>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</si>
  <si>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</si>
  <si>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</si>
  <si>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</si>
  <si>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</si>
  <si>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</si>
  <si>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</si>
  <si>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</si>
  <si>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</si>
  <si>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</si>
  <si>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</si>
  <si>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</si>
  <si>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</si>
  <si>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</si>
  <si>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</si>
  <si>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</si>
  <si>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</si>
  <si>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</si>
  <si>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</si>
  <si>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</si>
  <si>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</si>
  <si>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</si>
  <si>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</si>
  <si>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</si>
  <si>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</si>
  <si>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</si>
  <si>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</si>
  <si>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</si>
  <si>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</si>
  <si>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</si>
  <si>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</si>
  <si>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</si>
  <si>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</si>
  <si>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</si>
  <si>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</si>
  <si>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</si>
  <si>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</si>
  <si>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</si>
  <si>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</si>
  <si>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</si>
  <si>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</si>
  <si>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</si>
  <si>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</si>
  <si>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</si>
  <si>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</si>
  <si>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</si>
  <si>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</si>
  <si>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</si>
  <si>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</si>
  <si>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</si>
  <si>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</si>
  <si>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</si>
  <si>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</si>
  <si>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</si>
  <si>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</si>
  <si>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</si>
  <si>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</si>
  <si>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</si>
  <si>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</si>
  <si>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</si>
  <si>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</si>
  <si>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</si>
  <si>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</si>
  <si>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</si>
  <si>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</si>
  <si>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</si>
  <si>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</si>
  <si>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</si>
  <si>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</si>
  <si>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</si>
  <si>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</si>
  <si>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</si>
  <si>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</si>
  <si>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</si>
  <si>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</si>
  <si>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</si>
  <si>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</si>
  <si>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</si>
  <si>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</si>
  <si>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</si>
  <si>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</si>
  <si>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</si>
  <si>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</si>
  <si>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</si>
  <si>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</si>
  <si>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</si>
  <si>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</si>
  <si>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</si>
  <si>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</si>
  <si>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</si>
  <si>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</si>
  <si>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</si>
  <si>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</si>
  <si>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</si>
  <si>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</si>
  <si>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</si>
  <si>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</si>
  <si>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</si>
  <si>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</si>
  <si>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</si>
  <si>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</si>
  <si>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</si>
  <si>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</si>
  <si>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</si>
  <si>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</si>
  <si>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</si>
  <si>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</si>
  <si>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</si>
  <si>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</si>
  <si>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</si>
  <si>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</si>
  <si>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</si>
  <si>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</si>
  <si>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</si>
  <si>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</si>
  <si>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</si>
  <si>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</si>
  <si>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</si>
  <si>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</si>
  <si>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</si>
  <si>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</si>
  <si>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</si>
  <si>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</si>
  <si>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</si>
  <si>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</si>
  <si>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</si>
  <si>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</si>
  <si>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</si>
  <si>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</si>
  <si>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</si>
  <si>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</si>
  <si>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</si>
  <si>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</si>
  <si>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</si>
  <si>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</si>
  <si>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</si>
  <si>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</si>
  <si>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</si>
  <si>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</si>
  <si>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</si>
  <si>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</si>
  <si>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</si>
  <si>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</si>
  <si>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</si>
  <si>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</si>
  <si>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</si>
  <si>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</si>
  <si>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</si>
  <si>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</si>
  <si>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</si>
  <si>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</si>
  <si>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</si>
  <si>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</si>
  <si>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</si>
  <si>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</si>
  <si>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</si>
  <si>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</si>
  <si>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</si>
  <si>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</si>
  <si>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</si>
  <si>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</si>
  <si>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</si>
  <si>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</si>
  <si>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</si>
  <si>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</si>
  <si>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</si>
  <si>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</si>
  <si>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</si>
  <si>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</si>
  <si>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</si>
  <si>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</si>
  <si>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</si>
  <si>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</si>
  <si>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</si>
  <si>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</si>
  <si>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</si>
  <si>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</si>
  <si>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</si>
  <si>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</si>
  <si>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</si>
  <si>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</si>
  <si>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</si>
  <si>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</si>
  <si>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</si>
  <si>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</si>
  <si>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</si>
  <si>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</si>
  <si>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</si>
  <si>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</si>
  <si>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</si>
  <si>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</si>
  <si>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</si>
  <si>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</si>
  <si>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</si>
  <si>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</si>
  <si>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</si>
  <si>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</si>
  <si>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</si>
  <si>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</si>
  <si>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</si>
  <si>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</si>
  <si>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</si>
  <si>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</si>
  <si>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</si>
  <si>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</si>
  <si>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</si>
  <si>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</si>
  <si>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</si>
  <si>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</si>
  <si>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</si>
  <si>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</si>
  <si>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</si>
  <si>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</si>
  <si>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</si>
  <si>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</si>
  <si>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</si>
  <si>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</si>
  <si>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</si>
  <si>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</si>
  <si>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</si>
  <si>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</si>
  <si>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</si>
  <si>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</si>
  <si>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</si>
  <si>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</si>
  <si>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</si>
  <si>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</si>
  <si>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</si>
  <si>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</si>
  <si>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</si>
  <si>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</si>
  <si>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</si>
  <si>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</si>
  <si>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</si>
  <si>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</si>
  <si>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</si>
  <si>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</si>
  <si>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</si>
  <si>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</si>
  <si>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</si>
  <si>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</si>
  <si>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</si>
  <si>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</si>
  <si>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</si>
  <si>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</si>
  <si>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</si>
  <si>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</si>
  <si>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</si>
  <si>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</si>
  <si>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</si>
  <si>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</si>
  <si>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</si>
  <si>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</si>
  <si>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</si>
  <si>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</si>
  <si>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</si>
  <si>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</si>
  <si>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</si>
  <si>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</si>
  <si>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</si>
  <si>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</si>
  <si>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</si>
  <si>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</si>
  <si>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</si>
  <si>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</si>
  <si>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</si>
  <si>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</si>
  <si>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</si>
  <si>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</si>
  <si>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</si>
  <si>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</si>
  <si>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</si>
  <si>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</si>
  <si>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</si>
  <si>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</si>
  <si>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</si>
  <si>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</si>
  <si>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</si>
  <si>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</si>
  <si>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</si>
  <si>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</si>
  <si>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</si>
  <si>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</si>
  <si>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</si>
  <si>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</si>
  <si>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</si>
  <si>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</si>
  <si>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</si>
  <si>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</si>
  <si>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</si>
  <si>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</si>
  <si>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</si>
  <si>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</si>
  <si>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</si>
  <si>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</si>
  <si>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</si>
  <si>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</si>
  <si>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</si>
  <si>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</si>
  <si>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</si>
  <si>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</si>
  <si>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</si>
  <si>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</si>
  <si>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</si>
  <si>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</si>
  <si>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</si>
  <si>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</si>
  <si>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</si>
  <si>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</si>
  <si>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</si>
  <si>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</si>
  <si>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</si>
  <si>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</si>
  <si>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</si>
  <si>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</si>
  <si>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</si>
  <si>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</si>
  <si>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</si>
  <si>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</si>
  <si>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</si>
  <si>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</si>
  <si>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</si>
  <si>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</si>
  <si>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</si>
  <si>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</si>
  <si>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</si>
  <si>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</si>
  <si>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</si>
  <si>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</si>
  <si>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</si>
  <si>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</si>
  <si>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</si>
  <si>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</si>
  <si>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</si>
  <si>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</si>
  <si>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</si>
  <si>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</si>
  <si>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</si>
  <si>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</si>
  <si>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</si>
  <si>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</si>
  <si>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</si>
  <si>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</si>
  <si>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</si>
  <si>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</si>
  <si>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</si>
  <si>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</si>
  <si>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</si>
  <si>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</si>
  <si>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</si>
  <si>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</si>
  <si>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</si>
  <si>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</si>
  <si>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</si>
  <si>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</si>
  <si>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</si>
  <si>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</si>
  <si>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</si>
  <si>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</si>
  <si>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</si>
  <si>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</si>
  <si>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</si>
  <si>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</si>
  <si>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</si>
  <si>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</si>
  <si>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</si>
  <si>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</si>
  <si>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</si>
  <si>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</si>
  <si>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</si>
  <si>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</si>
  <si>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</si>
  <si>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</si>
  <si>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</si>
  <si>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</si>
  <si>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</si>
  <si>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</si>
  <si>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</si>
  <si>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</si>
  <si>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</si>
  <si>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</si>
  <si>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</si>
  <si>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</si>
  <si>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</si>
  <si>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</si>
  <si>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</si>
  <si>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</si>
  <si>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</si>
  <si>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</si>
  <si>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</si>
  <si>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</si>
  <si>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</si>
  <si>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</si>
  <si>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</si>
  <si>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</si>
  <si>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</si>
  <si>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</si>
  <si>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</si>
  <si>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</si>
  <si>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</si>
  <si>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</si>
  <si>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</si>
  <si>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</si>
  <si>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</si>
  <si>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</si>
  <si>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</si>
  <si>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</si>
  <si>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</si>
  <si>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</si>
  <si>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</si>
  <si>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</si>
  <si>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</si>
  <si>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</si>
  <si>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</si>
  <si>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</si>
  <si>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</si>
  <si>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</si>
  <si>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</si>
  <si>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</si>
  <si>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</si>
  <si>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</si>
  <si>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</si>
  <si>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</si>
  <si>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</si>
  <si>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</si>
  <si>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</si>
  <si>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</si>
  <si>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</si>
  <si>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</si>
  <si>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</si>
  <si>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</si>
  <si>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</si>
  <si>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</si>
  <si>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</si>
  <si>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</si>
  <si>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</si>
  <si>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</si>
  <si>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</si>
  <si>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</si>
  <si>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</si>
  <si>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</si>
  <si>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</si>
  <si>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</si>
  <si>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</si>
  <si>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</si>
  <si>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</si>
  <si>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</si>
  <si>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</si>
  <si>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</si>
  <si>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</si>
  <si>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</si>
  <si>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</si>
  <si>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</si>
  <si>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</si>
  <si>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</si>
  <si>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</si>
  <si>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</si>
  <si>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</si>
  <si>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</si>
  <si>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</si>
  <si>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</si>
  <si>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</si>
  <si>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</si>
  <si>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</si>
  <si>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</si>
  <si>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</si>
  <si>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</si>
  <si>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</si>
  <si>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</si>
  <si>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</si>
  <si>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</si>
  <si>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</si>
  <si>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</si>
  <si>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</si>
  <si>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</si>
  <si>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</si>
  <si>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</si>
  <si>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</si>
  <si>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</si>
  <si>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</si>
  <si>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</si>
  <si>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</si>
  <si>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</si>
  <si>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</si>
  <si>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</si>
  <si>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</si>
  <si>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</si>
  <si>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</si>
  <si>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</si>
  <si>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</si>
  <si>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</si>
  <si>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</si>
  <si>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</si>
  <si>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</si>
  <si>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</si>
  <si>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</si>
  <si>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</si>
  <si>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</si>
  <si>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</si>
  <si>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</si>
  <si>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</si>
  <si>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</si>
  <si>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</si>
  <si>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</si>
  <si>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</si>
  <si>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</si>
  <si>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</si>
  <si>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</si>
  <si>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</si>
  <si>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</si>
  <si>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</si>
  <si>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</si>
  <si>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</si>
  <si>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</si>
  <si>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</si>
  <si>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</si>
  <si>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</si>
  <si>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</si>
  <si>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</si>
  <si>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</si>
  <si>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</si>
  <si>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</si>
  <si>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</si>
  <si>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</si>
  <si>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</si>
  <si>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</si>
  <si>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</si>
  <si>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</si>
  <si>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</si>
  <si>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</si>
  <si>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</si>
  <si>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</si>
  <si>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</si>
  <si>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</si>
  <si>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</si>
  <si>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</si>
  <si>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</si>
  <si>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</si>
  <si>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</si>
  <si>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</si>
  <si>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</si>
  <si>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</si>
  <si>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</si>
  <si>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</si>
  <si>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</si>
  <si>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</si>
  <si>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</si>
  <si>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</si>
  <si>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</si>
  <si>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</si>
  <si>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</si>
  <si>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</si>
  <si>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</si>
  <si>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</si>
  <si>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</si>
  <si>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</si>
  <si>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</si>
  <si>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</si>
  <si>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</si>
  <si>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</si>
  <si>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</si>
  <si>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</si>
  <si>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</si>
  <si>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</si>
  <si>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</si>
  <si>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</si>
  <si>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</si>
  <si>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</si>
  <si>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</si>
  <si>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</si>
  <si>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</si>
  <si>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</si>
  <si>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</si>
  <si>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</si>
  <si>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</si>
  <si>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</si>
  <si>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</si>
  <si>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</si>
  <si>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</si>
  <si>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</si>
  <si>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</si>
  <si>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</si>
  <si>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</si>
  <si>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</si>
  <si>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</si>
  <si>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</si>
  <si>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</si>
  <si>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</si>
  <si>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</si>
  <si>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</si>
  <si>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</si>
  <si>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</si>
  <si>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</si>
  <si>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</si>
  <si>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</si>
  <si>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</si>
  <si>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</si>
  <si>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</si>
  <si>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</si>
  <si>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</si>
  <si>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</si>
  <si>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</si>
  <si>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</si>
  <si>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</si>
  <si>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</si>
  <si>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</si>
  <si>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</si>
  <si>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</si>
  <si>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</si>
  <si>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</si>
  <si>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</si>
  <si>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</si>
  <si>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D3r, D1-2r, C1-3b</t>
  </si>
  <si>
    <t>Exotic Lonicera spp.</t>
  </si>
  <si>
    <t>G1-3p</t>
  </si>
  <si>
    <t>H1-3p</t>
  </si>
  <si>
    <t>Helianthus cf. pauciflorus</t>
  </si>
  <si>
    <t>SLBR.W2022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</si>
</sst>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vertical="center"/>
    </xf>
    <xf numFmtId="0" fontId="10" fillId="0" borderId="25" xfId="1" applyFont="1" applyBorder="1"/>
    <xf numFmtId="0" fontId="44" fillId="0" borderId="25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8" t="s">
        <v>57</v>
      </c>
      <c r="B2" s="138"/>
      <c r="C2" s="138"/>
      <c r="D2" s="138"/>
      <c r="E2" s="138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0" t="s">
        <v>5390</v>
      </c>
      <c r="B22" s="140"/>
      <c r="C22" s="140"/>
      <c r="D22" s="140"/>
      <c r="E22" s="140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9" t="s">
        <v>5391</v>
      </c>
      <c r="B24" s="139"/>
      <c r="C24" s="139"/>
      <c r="D24" s="139"/>
      <c r="E24" s="139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9" t="s">
        <v>61</v>
      </c>
      <c r="B39" s="139"/>
      <c r="C39" s="139"/>
      <c r="D39" s="139"/>
      <c r="E39" s="139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9" t="s">
        <v>62</v>
      </c>
      <c r="B45" s="139"/>
      <c r="C45" s="139"/>
      <c r="D45" s="139"/>
      <c r="E45" s="139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4" t="s">
        <v>43</v>
      </c>
      <c r="B93" s="135"/>
      <c r="C93" s="137"/>
      <c r="D93" s="141" t="s">
        <v>44</v>
      </c>
      <c r="E93" s="136"/>
    </row>
    <row r="94" spans="1:5" x14ac:dyDescent="0.2">
      <c r="A94" s="73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73" t="s">
        <v>24</v>
      </c>
      <c r="B95" s="128" t="s">
        <v>31</v>
      </c>
      <c r="C95" s="129"/>
      <c r="D95" s="3" t="s">
        <v>47</v>
      </c>
      <c r="E95" s="9">
        <v>7</v>
      </c>
    </row>
    <row r="96" spans="1:5" x14ac:dyDescent="0.2">
      <c r="A96" s="73" t="s">
        <v>3</v>
      </c>
      <c r="B96" s="128" t="s">
        <v>32</v>
      </c>
      <c r="C96" s="129"/>
      <c r="D96" s="3" t="s">
        <v>48</v>
      </c>
      <c r="E96" s="9">
        <v>6</v>
      </c>
    </row>
    <row r="97" spans="1:5" x14ac:dyDescent="0.2">
      <c r="A97" s="73" t="s">
        <v>25</v>
      </c>
      <c r="B97" s="128" t="s">
        <v>33</v>
      </c>
      <c r="C97" s="129"/>
      <c r="D97" s="3" t="s">
        <v>49</v>
      </c>
      <c r="E97" s="9">
        <v>5</v>
      </c>
    </row>
    <row r="98" spans="1:5" x14ac:dyDescent="0.2">
      <c r="A98" s="73" t="s">
        <v>26</v>
      </c>
      <c r="B98" s="128" t="s">
        <v>34</v>
      </c>
      <c r="C98" s="129"/>
      <c r="D98" s="3" t="s">
        <v>50</v>
      </c>
      <c r="E98" s="9">
        <v>4</v>
      </c>
    </row>
    <row r="99" spans="1:5" x14ac:dyDescent="0.2">
      <c r="A99" s="73" t="s">
        <v>27</v>
      </c>
      <c r="B99" s="128" t="s">
        <v>35</v>
      </c>
      <c r="C99" s="129"/>
      <c r="D99" s="3" t="s">
        <v>4</v>
      </c>
      <c r="E99" s="9">
        <v>3</v>
      </c>
    </row>
    <row r="100" spans="1:5" x14ac:dyDescent="0.2">
      <c r="A100" s="73" t="s">
        <v>2</v>
      </c>
      <c r="B100" s="128" t="s">
        <v>36</v>
      </c>
      <c r="C100" s="129"/>
      <c r="D100" s="3" t="s">
        <v>5</v>
      </c>
      <c r="E100" s="9">
        <v>2</v>
      </c>
    </row>
    <row r="101" spans="1:5" x14ac:dyDescent="0.2">
      <c r="A101" s="73" t="s">
        <v>28</v>
      </c>
      <c r="B101" s="128" t="s">
        <v>37</v>
      </c>
      <c r="C101" s="129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0" t="s">
        <v>38</v>
      </c>
      <c r="C102" s="131"/>
      <c r="D102" s="5"/>
      <c r="E102" s="8"/>
    </row>
    <row r="103" spans="1:5" ht="13.5" thickBot="1" x14ac:dyDescent="0.25">
      <c r="A103" s="134" t="s">
        <v>68</v>
      </c>
      <c r="B103" s="135"/>
      <c r="C103" s="137"/>
      <c r="D103" s="141" t="s">
        <v>45</v>
      </c>
      <c r="E103" s="136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4" t="s">
        <v>21</v>
      </c>
      <c r="B112" s="135"/>
      <c r="C112" s="136"/>
    </row>
    <row r="113" spans="1:3" x14ac:dyDescent="0.2">
      <c r="A113" s="73">
        <v>1</v>
      </c>
      <c r="B113" s="132" t="s">
        <v>40</v>
      </c>
      <c r="C113" s="133"/>
    </row>
    <row r="114" spans="1:3" x14ac:dyDescent="0.2">
      <c r="A114" s="73" t="s">
        <v>39</v>
      </c>
      <c r="B114" s="128" t="s">
        <v>41</v>
      </c>
      <c r="C114" s="129"/>
    </row>
    <row r="115" spans="1:3" x14ac:dyDescent="0.2">
      <c r="A115" s="74" t="s">
        <v>15</v>
      </c>
      <c r="B115" s="126" t="s">
        <v>42</v>
      </c>
      <c r="C115" s="12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8" t="s">
        <v>127</v>
      </c>
      <c r="B1" s="138"/>
      <c r="C1" s="138"/>
      <c r="D1" s="138"/>
      <c r="E1" s="138"/>
      <c r="F1" s="138"/>
      <c r="G1" s="138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324" zoomScale="70" zoomScaleNormal="70" workbookViewId="0">
      <selection activeCell="A1340" sqref="A1340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19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1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6" t="s">
        <v>5439</v>
      </c>
      <c r="C1120" s="39">
        <v>0</v>
      </c>
      <c r="D1120" s="117" t="s">
        <v>149</v>
      </c>
      <c r="E1120" s="118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0" customFormat="1" ht="15.75" thickBot="1" x14ac:dyDescent="0.3">
      <c r="A1186" s="113" t="s">
        <v>5435</v>
      </c>
      <c r="C1186" s="110">
        <v>0</v>
      </c>
      <c r="D1186" s="110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0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4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1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6" t="s">
        <v>5438</v>
      </c>
      <c r="C2392" s="39">
        <v>3</v>
      </c>
      <c r="D2392" s="117" t="s">
        <v>157</v>
      </c>
      <c r="E2392" s="118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1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8" customFormat="1" ht="15" x14ac:dyDescent="0.25">
      <c r="A2524" s="109" t="s">
        <v>5428</v>
      </c>
      <c r="C2524" s="108">
        <v>3</v>
      </c>
      <c r="D2524" s="108" t="s">
        <v>149</v>
      </c>
      <c r="E2524" s="108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2" customFormat="1" x14ac:dyDescent="0.2">
      <c r="A2670" s="36" t="s">
        <v>5436</v>
      </c>
      <c r="C2670" s="112">
        <v>1</v>
      </c>
      <c r="D2670" s="112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5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5448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1" t="s">
        <v>3762</v>
      </c>
      <c r="B12" s="44" t="str">
        <f>IF(LEN(VLOOKUP(A12,'Species List'!$A:$G,2,FALSE))=0,"",VLOOKUP(A12,'Species List'!$A:$G,2,FALSE))</f>
        <v>smooth sumac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7">
        <f t="shared" ref="N12:N77" si="2">L12/$L$153</f>
        <v>0.24793388429752067</v>
      </c>
      <c r="O12" s="107">
        <f t="shared" ref="O12:O13" si="3">D12*N12</f>
        <v>0.49586776859504134</v>
      </c>
    </row>
    <row r="13" spans="1:15" x14ac:dyDescent="0.2">
      <c r="A13" s="121" t="s">
        <v>3855</v>
      </c>
      <c r="B13" s="44" t="str">
        <f>IF(LEN(VLOOKUP(A13,'Species List'!$A:$G,2,FALSE))=0,"",VLOOKUP(A13,'Species List'!$A:$G,2,FALSE))</f>
        <v>black raspberry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9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7">
        <f t="shared" si="2"/>
        <v>0.24793388429752067</v>
      </c>
      <c r="O13" s="107">
        <f t="shared" si="3"/>
        <v>0.49586776859504134</v>
      </c>
    </row>
    <row r="14" spans="1:15" x14ac:dyDescent="0.2">
      <c r="A14" s="122" t="s">
        <v>5444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9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>VALUE(L14)</f>
        <v>15</v>
      </c>
      <c r="N14" s="85">
        <f t="shared" si="2"/>
        <v>0.24793388429752067</v>
      </c>
      <c r="O14" s="85">
        <f>D14*N14</f>
        <v>0</v>
      </c>
    </row>
    <row r="15" spans="1:15" x14ac:dyDescent="0.2">
      <c r="A15" s="121" t="s">
        <v>2144</v>
      </c>
      <c r="B15" s="44" t="str">
        <f>IF(LEN(VLOOKUP(A15,'Species List'!$A:$G,2,FALSE))=0,"",VLOOKUP(A15,'Species List'!$A:$G,2,FALSE))</f>
        <v>green ash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91" t="s">
        <v>5409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100">
        <f t="shared" ref="M15:M78" si="5">VALUE(L15)</f>
        <v>0.5</v>
      </c>
      <c r="N15" s="85">
        <f t="shared" si="2"/>
        <v>8.2644628099173556E-3</v>
      </c>
      <c r="O15" s="98">
        <f t="shared" ref="O15:O78" si="6">D15*N15</f>
        <v>1.6528925619834711E-2</v>
      </c>
    </row>
    <row r="16" spans="1:15" x14ac:dyDescent="0.2">
      <c r="A16" s="121" t="s">
        <v>2501</v>
      </c>
      <c r="B16" s="44" t="str">
        <f>IF(LEN(VLOOKUP(A16,'Species List'!$A:$G,2,FALSE))=0,"",VLOOKUP(A16,'Species List'!$A:$G,2,FALSE))</f>
        <v>black walnut</v>
      </c>
      <c r="C16" s="44">
        <f>IF(LEN(VLOOKUP(A16,'Species List'!$A:$G,3,FALSE))=0,"",VLOOKUP(A16,'Species List'!$A:$G,3,FALSE))</f>
        <v>4</v>
      </c>
      <c r="D16" s="99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91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4.9586776859504134E-2</v>
      </c>
      <c r="O16" s="98">
        <f t="shared" si="6"/>
        <v>0.19834710743801653</v>
      </c>
    </row>
    <row r="17" spans="1:15" x14ac:dyDescent="0.2">
      <c r="A17" s="121" t="s">
        <v>3689</v>
      </c>
      <c r="B17" s="44" t="str">
        <f>IF(LEN(VLOOKUP(A17,'Species List'!$A:$G,2,FALSE))=0,"",VLOOKUP(A17,'Species List'!$A:$G,2,FALSE))</f>
        <v>northern pin oak</v>
      </c>
      <c r="C17" s="44">
        <f>IF(LEN(VLOOKUP(A17,'Species List'!$A:$G,3,FALSE))=0,"",VLOOKUP(A17,'Species List'!$A:$G,3,FALSE))</f>
        <v>5</v>
      </c>
      <c r="D17" s="99">
        <f t="shared" si="4"/>
        <v>5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91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85">
        <f t="shared" si="2"/>
        <v>4.9586776859504134E-2</v>
      </c>
      <c r="O17" s="98">
        <f t="shared" si="6"/>
        <v>0.24793388429752067</v>
      </c>
    </row>
    <row r="18" spans="1:15" x14ac:dyDescent="0.2">
      <c r="A18" s="121" t="s">
        <v>3654</v>
      </c>
      <c r="B18" s="44" t="str">
        <f>IF(LEN(VLOOKUP(A18,'Species List'!$A:$G,2,FALSE))=0,"",VLOOKUP(A18,'Species List'!$A:$G,2,FALSE))</f>
        <v>black cherry</v>
      </c>
      <c r="C18" s="44">
        <f>IF(LEN(VLOOKUP(A18,'Species List'!$A:$G,3,FALSE))=0,"",VLOOKUP(A18,'Species List'!$A:$G,3,FALSE))</f>
        <v>4</v>
      </c>
      <c r="D18" s="99">
        <f t="shared" si="4"/>
        <v>4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91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4.9586776859504134E-2</v>
      </c>
      <c r="O18" s="98">
        <f t="shared" si="6"/>
        <v>0.19834710743801653</v>
      </c>
    </row>
    <row r="19" spans="1:15" x14ac:dyDescent="0.2">
      <c r="A19" s="121" t="s">
        <v>4597</v>
      </c>
      <c r="B19" s="44" t="str">
        <f>IF(LEN(VLOOKUP(A19,'Species List'!$A:$G,2,FALSE))=0,"",VLOOKUP(A19,'Species List'!$A:$G,2,FALSE))</f>
        <v>Siberian elm</v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UPL</v>
      </c>
      <c r="H19" s="44">
        <f>VLOOKUP(A19,'Species List'!$A:$G,7,FALSE)</f>
        <v>0</v>
      </c>
      <c r="J19" s="91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4.9586776859504134E-2</v>
      </c>
      <c r="O19" s="98">
        <f t="shared" si="6"/>
        <v>0</v>
      </c>
    </row>
    <row r="20" spans="1:15" x14ac:dyDescent="0.2">
      <c r="A20" s="123" t="s">
        <v>4765</v>
      </c>
      <c r="B20" s="44" t="str">
        <f>IF(LEN(VLOOKUP(A20,'Species List'!$A:$G,2,FALSE))=0,"",VLOOKUP(A20,'Species List'!$A:$G,2,FALSE))</f>
        <v>wild grape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C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FACW-</v>
      </c>
      <c r="H20" s="44">
        <f>VLOOKUP(A20,'Species List'!$A:$G,7,FALSE)</f>
        <v>0</v>
      </c>
      <c r="J20" s="91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4.9586776859504134E-2</v>
      </c>
      <c r="O20" s="98">
        <f t="shared" si="6"/>
        <v>9.9173553719008267E-2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60.5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5446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1" t="s">
        <v>4409</v>
      </c>
      <c r="B12" s="44" t="str">
        <f>IF(LEN(VLOOKUP(A12,'Species List'!$A:$G,2,FALSE))=0,"",VLOOKUP(A12,'Species List'!$A:$G,2,FALSE))</f>
        <v>smooth blue aster</v>
      </c>
      <c r="C12" s="44">
        <f>IF(LEN(VLOOKUP(A12,'Species List'!$A:$G,3,FALSE))=0,"",VLOOKUP(A12,'Species List'!$A:$G,3,FALSE))</f>
        <v>6</v>
      </c>
      <c r="D12" s="99">
        <f t="shared" ref="D12:D13" si="0">VALUE(C12)</f>
        <v>6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4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7">
        <f t="shared" ref="N12:N13" si="2">L12/$L$153</f>
        <v>2.3346303501945526E-2</v>
      </c>
      <c r="O12" s="107">
        <f t="shared" ref="O12:O13" si="3">D12*N12</f>
        <v>0.14007782101167315</v>
      </c>
    </row>
    <row r="13" spans="1:15" x14ac:dyDescent="0.2">
      <c r="A13" s="121" t="s">
        <v>2946</v>
      </c>
      <c r="B13" s="44" t="str">
        <f>IF(LEN(VLOOKUP(A13,'Species List'!$A:$G,2,FALSE))=0,"",VLOOKUP(A13,'Species List'!$A:$G,2,FALSE))</f>
        <v>wild bergamot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4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7">
        <f t="shared" si="2"/>
        <v>0.11673151750972763</v>
      </c>
      <c r="O13" s="107">
        <f t="shared" si="3"/>
        <v>0.35019455252918286</v>
      </c>
    </row>
    <row r="14" spans="1:15" x14ac:dyDescent="0.2">
      <c r="A14" s="121" t="s">
        <v>4210</v>
      </c>
      <c r="B14" s="44" t="str">
        <f>IF(LEN(VLOOKUP(A14,'Species List'!$A:$G,2,FALSE))=0,"",VLOOKUP(A14,'Species List'!$A:$G,2,FALSE))</f>
        <v>late goldenrod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4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0.11673151750972763</v>
      </c>
      <c r="O14" s="85">
        <f>D14*N14</f>
        <v>0.11673151750972763</v>
      </c>
    </row>
    <row r="15" spans="1:15" x14ac:dyDescent="0.2">
      <c r="A15" s="121" t="s">
        <v>3621</v>
      </c>
      <c r="B15" s="44" t="str">
        <f>IF(LEN(VLOOKUP(A15,'Species List'!$A:$G,2,FALSE))=0,"",VLOOKUP(A15,'Species List'!$A:$G,2,FALSE))</f>
        <v>rough-fruited cinquefoil</v>
      </c>
      <c r="C15" s="44">
        <f>IF(LEN(VLOOKUP(A15,'Species List'!$A:$G,3,FALSE))=0,"",VLOOKUP(A15,'Species List'!$A:$G,3,FALSE))</f>
        <v>0</v>
      </c>
      <c r="D15" s="99">
        <f t="shared" ref="D15:D78" si="4">VALUE(C15)</f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4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2.3346303501945526E-2</v>
      </c>
      <c r="O15" s="98">
        <f t="shared" ref="O15:O78" si="7">D15*N15</f>
        <v>0</v>
      </c>
    </row>
    <row r="16" spans="1:15" x14ac:dyDescent="0.2">
      <c r="A16" s="121" t="s">
        <v>2135</v>
      </c>
      <c r="B16" s="44" t="str">
        <f>IF(LEN(VLOOKUP(A16,'Species List'!$A:$G,2,FALSE))=0,"",VLOOKUP(A16,'Species List'!$A:$G,2,FALSE))</f>
        <v>common strawberry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FAC-</v>
      </c>
      <c r="H16" s="44">
        <f>VLOOKUP(A16,'Species List'!$A:$G,7,FALSE)</f>
        <v>0</v>
      </c>
      <c r="J16" s="124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2.3346303501945526E-2</v>
      </c>
      <c r="O16" s="98">
        <f t="shared" si="7"/>
        <v>4.6692607003891051E-2</v>
      </c>
    </row>
    <row r="17" spans="1:15" x14ac:dyDescent="0.2">
      <c r="A17" s="121" t="s">
        <v>4694</v>
      </c>
      <c r="B17" s="44" t="str">
        <f>IF(LEN(VLOOKUP(A17,'Species List'!$A:$G,2,FALSE))=0,"",VLOOKUP(A17,'Species List'!$A:$G,2,FALSE))</f>
        <v>Culver's root</v>
      </c>
      <c r="C17" s="44">
        <f>IF(LEN(VLOOKUP(A17,'Species List'!$A:$G,3,FALSE))=0,"",VLOOKUP(A17,'Species List'!$A:$G,3,FALSE))</f>
        <v>6</v>
      </c>
      <c r="D17" s="99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4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2.3346303501945526E-2</v>
      </c>
      <c r="O17" s="98">
        <f t="shared" si="7"/>
        <v>0.14007782101167315</v>
      </c>
    </row>
    <row r="18" spans="1:15" x14ac:dyDescent="0.2">
      <c r="A18" s="121" t="s">
        <v>2679</v>
      </c>
      <c r="B18" s="44" t="str">
        <f>IF(LEN(VLOOKUP(A18,'Species List'!$A:$G,2,FALSE))=0,"",VLOOKUP(A18,'Species List'!$A:$G,2,FALSE))</f>
        <v>butter-and-eggs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4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2.3346303501945526E-2</v>
      </c>
      <c r="O18" s="98">
        <f t="shared" si="7"/>
        <v>0</v>
      </c>
    </row>
    <row r="19" spans="1:15" x14ac:dyDescent="0.2">
      <c r="A19" s="121" t="s">
        <v>3671</v>
      </c>
      <c r="B19" s="44" t="str">
        <f>IF(LEN(VLOOKUP(A19,'Species List'!$A:$G,2,FALSE))=0,"",VLOOKUP(A19,'Species List'!$A:$G,2,FALSE))</f>
        <v>Virginia mountain mint</v>
      </c>
      <c r="C19" s="44">
        <f>IF(LEN(VLOOKUP(A19,'Species List'!$A:$G,3,FALSE))=0,"",VLOOKUP(A19,'Species List'!$A:$G,3,FALSE))</f>
        <v>6</v>
      </c>
      <c r="D19" s="99">
        <f t="shared" si="4"/>
        <v>6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FACW+</v>
      </c>
      <c r="H19" s="44">
        <f>VLOOKUP(A19,'Species List'!$A:$G,7,FALSE)</f>
        <v>0</v>
      </c>
      <c r="J19" s="124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2.3346303501945526E-2</v>
      </c>
      <c r="O19" s="98">
        <f t="shared" si="7"/>
        <v>0.14007782101167315</v>
      </c>
    </row>
    <row r="20" spans="1:15" x14ac:dyDescent="0.2">
      <c r="A20" s="121" t="s">
        <v>3751</v>
      </c>
      <c r="B20" s="44" t="str">
        <f>IF(LEN(VLOOKUP(A20,'Species List'!$A:$G,2,FALSE))=0,"",VLOOKUP(A20,'Species List'!$A:$G,2,FALSE))</f>
        <v>gray-headed coneflower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4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100">
        <f t="shared" si="5"/>
        <v>15</v>
      </c>
      <c r="N20" s="98">
        <f t="shared" si="6"/>
        <v>0.11673151750972763</v>
      </c>
      <c r="O20" s="98">
        <f t="shared" si="7"/>
        <v>0.46692607003891051</v>
      </c>
    </row>
    <row r="21" spans="1:15" x14ac:dyDescent="0.2">
      <c r="A21" s="121" t="s">
        <v>4237</v>
      </c>
      <c r="B21" s="44" t="str">
        <f>IF(LEN(VLOOKUP(A21,'Species List'!$A:$G,2,FALSE))=0,"",VLOOKUP(A21,'Species List'!$A:$G,2,FALSE))</f>
        <v>stiff goldenrod</v>
      </c>
      <c r="C21" s="44">
        <f>IF(LEN(VLOOKUP(A21,'Species List'!$A:$G,3,FALSE))=0,"",VLOOKUP(A21,'Species List'!$A:$G,3,FALSE))</f>
        <v>5</v>
      </c>
      <c r="D21" s="99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4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98">
        <f t="shared" si="6"/>
        <v>0.11673151750972763</v>
      </c>
      <c r="O21" s="98">
        <f t="shared" si="7"/>
        <v>0.58365758754863817</v>
      </c>
    </row>
    <row r="22" spans="1:15" x14ac:dyDescent="0.2">
      <c r="A22" s="121" t="s">
        <v>4433</v>
      </c>
      <c r="B22" s="44" t="str">
        <f>IF(LEN(VLOOKUP(A22,'Species List'!$A:$G,2,FALSE))=0,"",VLOOKUP(A22,'Species List'!$A:$G,2,FALSE))</f>
        <v>awl aster</v>
      </c>
      <c r="C22" s="44">
        <f>IF(LEN(VLOOKUP(A22,'Species List'!$A:$G,3,FALSE))=0,"",VLOOKUP(A22,'Species List'!$A:$G,3,FALSE))</f>
        <v>1</v>
      </c>
      <c r="D22" s="99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 t="str">
        <f>VLOOKUP(A22,'Species List'!$A:$G,7,FALSE)</f>
        <v>W</v>
      </c>
      <c r="J22" s="124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2.3346303501945526E-2</v>
      </c>
      <c r="O22" s="98">
        <f t="shared" si="7"/>
        <v>2.3346303501945526E-2</v>
      </c>
    </row>
    <row r="23" spans="1:15" x14ac:dyDescent="0.2">
      <c r="A23" s="121" t="s">
        <v>1614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7</v>
      </c>
      <c r="D23" s="99">
        <f t="shared" si="4"/>
        <v>7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124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2.3346303501945526E-2</v>
      </c>
      <c r="O23" s="98">
        <f t="shared" si="7"/>
        <v>0.16342412451361868</v>
      </c>
    </row>
    <row r="24" spans="1:15" x14ac:dyDescent="0.2">
      <c r="A24" s="121" t="s">
        <v>186</v>
      </c>
      <c r="B24" s="44" t="str">
        <f>IF(LEN(VLOOKUP(A24,'Species List'!$A:$G,2,FALSE))=0,"",VLOOKUP(A24,'Species List'!$A:$G,2,FALSE))</f>
        <v>common yarrow</v>
      </c>
      <c r="C24" s="44">
        <f>IF(LEN(VLOOKUP(A24,'Species List'!$A:$G,3,FALSE))=0,"",VLOOKUP(A24,'Species List'!$A:$G,3,FALSE))</f>
        <v>1</v>
      </c>
      <c r="D24" s="99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24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2.3346303501945526E-2</v>
      </c>
      <c r="O24" s="98">
        <f t="shared" si="7"/>
        <v>2.3346303501945526E-2</v>
      </c>
    </row>
    <row r="25" spans="1:15" x14ac:dyDescent="0.2">
      <c r="A25" s="121" t="s">
        <v>4243</v>
      </c>
      <c r="B25" s="44" t="str">
        <f>IF(LEN(VLOOKUP(A25,'Species List'!$A:$G,2,FALSE))=0,"",VLOOKUP(A25,'Species List'!$A:$G,2,FALSE))</f>
        <v>showy goldenrod</v>
      </c>
      <c r="C25" s="44">
        <f>IF(LEN(VLOOKUP(A25,'Species List'!$A:$G,3,FALSE))=0,"",VLOOKUP(A25,'Species List'!$A:$G,3,FALSE))</f>
        <v>5</v>
      </c>
      <c r="D25" s="99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124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2.3346303501945526E-2</v>
      </c>
      <c r="O25" s="98">
        <f t="shared" si="7"/>
        <v>0.11673151750972763</v>
      </c>
    </row>
    <row r="26" spans="1:15" x14ac:dyDescent="0.2">
      <c r="A26" s="121" t="s">
        <v>643</v>
      </c>
      <c r="B26" s="44" t="str">
        <f>IF(LEN(VLOOKUP(A26,'Species List'!$A:$G,2,FALSE))=0,"",VLOOKUP(A26,'Species List'!$A:$G,2,FALSE))</f>
        <v>hoary alyssum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4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2.3346303501945526E-2</v>
      </c>
      <c r="O26" s="98">
        <f t="shared" si="7"/>
        <v>0</v>
      </c>
    </row>
    <row r="27" spans="1:15" x14ac:dyDescent="0.2">
      <c r="A27" s="121" t="s">
        <v>1608</v>
      </c>
      <c r="B27" s="44" t="str">
        <f>IF(LEN(VLOOKUP(A27,'Species List'!$A:$G,2,FALSE))=0,"",VLOOKUP(A27,'Species List'!$A:$G,2,FALSE))</f>
        <v>white prairie clover</v>
      </c>
      <c r="C27" s="44">
        <f>IF(LEN(VLOOKUP(A27,'Species List'!$A:$G,3,FALSE))=0,"",VLOOKUP(A27,'Species List'!$A:$G,3,FALSE))</f>
        <v>8</v>
      </c>
      <c r="D27" s="99">
        <f t="shared" si="4"/>
        <v>8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24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2.3346303501945526E-2</v>
      </c>
      <c r="O27" s="98">
        <f t="shared" si="7"/>
        <v>0.1867704280155642</v>
      </c>
    </row>
    <row r="28" spans="1:15" x14ac:dyDescent="0.2">
      <c r="A28" s="121" t="s">
        <v>1439</v>
      </c>
      <c r="B28" s="44" t="str">
        <f>IF(LEN(VLOOKUP(A28,'Species List'!$A:$G,2,FALSE))=0,"",VLOOKUP(A28,'Species List'!$A:$G,2,FALSE))</f>
        <v>bird's foot coreopsis</v>
      </c>
      <c r="C28" s="44">
        <f>IF(LEN(VLOOKUP(A28,'Species List'!$A:$G,3,FALSE))=0,"",VLOOKUP(A28,'Species List'!$A:$G,3,FALSE))</f>
        <v>8</v>
      </c>
      <c r="D28" s="99">
        <f t="shared" si="4"/>
        <v>8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4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2.3346303501945526E-2</v>
      </c>
      <c r="O28" s="98">
        <f t="shared" si="7"/>
        <v>0.1867704280155642</v>
      </c>
    </row>
    <row r="29" spans="1:15" x14ac:dyDescent="0.2">
      <c r="A29" s="121" t="s">
        <v>234</v>
      </c>
      <c r="B29" s="44" t="str">
        <f>IF(LEN(VLOOKUP(A29,'Species List'!$A:$G,2,FALSE))=0,"",VLOOKUP(A29,'Species List'!$A:$G,2,FALSE))</f>
        <v>white snakeroot</v>
      </c>
      <c r="C29" s="44">
        <f>IF(LEN(VLOOKUP(A29,'Species List'!$A:$G,3,FALSE))=0,"",VLOOKUP(A29,'Species List'!$A:$G,3,FALSE))</f>
        <v>1</v>
      </c>
      <c r="D29" s="99">
        <f t="shared" si="4"/>
        <v>1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4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2.3346303501945526E-2</v>
      </c>
      <c r="O29" s="98">
        <f t="shared" si="7"/>
        <v>2.3346303501945526E-2</v>
      </c>
    </row>
    <row r="30" spans="1:15" x14ac:dyDescent="0.2">
      <c r="A30" s="121" t="s">
        <v>4219</v>
      </c>
      <c r="B30" s="44" t="str">
        <f>IF(LEN(VLOOKUP(A30,'Species List'!$A:$G,2,FALSE))=0,"",VLOOKUP(A30,'Species List'!$A:$G,2,FALSE))</f>
        <v>giant goldenrod</v>
      </c>
      <c r="C30" s="44">
        <f>IF(LEN(VLOOKUP(A30,'Species List'!$A:$G,3,FALSE))=0,"",VLOOKUP(A30,'Species List'!$A:$G,3,FALSE))</f>
        <v>3</v>
      </c>
      <c r="D30" s="99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24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2.3346303501945526E-2</v>
      </c>
      <c r="O30" s="98">
        <f t="shared" si="7"/>
        <v>7.0038910505836577E-2</v>
      </c>
    </row>
    <row r="31" spans="1:15" x14ac:dyDescent="0.2">
      <c r="A31" s="121" t="s">
        <v>4474</v>
      </c>
      <c r="B31" s="44" t="str">
        <f>IF(LEN(VLOOKUP(A31,'Species List'!$A:$G,2,FALSE))=0,"",VLOOKUP(A31,'Species List'!$A:$G,2,FALSE))</f>
        <v>germander</v>
      </c>
      <c r="C31" s="44">
        <f>IF(LEN(VLOOKUP(A31,'Species List'!$A:$G,3,FALSE))=0,"",VLOOKUP(A31,'Species List'!$A:$G,3,FALSE))</f>
        <v>4</v>
      </c>
      <c r="D31" s="99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FACW-</v>
      </c>
      <c r="H31" s="44">
        <f>VLOOKUP(A31,'Species List'!$A:$G,7,FALSE)</f>
        <v>0</v>
      </c>
      <c r="J31" s="124" t="s">
        <v>5409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98">
        <f t="shared" si="6"/>
        <v>3.8910505836575876E-3</v>
      </c>
      <c r="O31" s="98">
        <f t="shared" si="7"/>
        <v>1.556420233463035E-2</v>
      </c>
    </row>
    <row r="32" spans="1:15" x14ac:dyDescent="0.2">
      <c r="A32" s="121" t="s">
        <v>4166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4</v>
      </c>
      <c r="D32" s="99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</v>
      </c>
      <c r="H32" s="44">
        <f>VLOOKUP(A32,'Species List'!$A:$G,7,FALSE)</f>
        <v>0</v>
      </c>
      <c r="J32" s="124" t="s">
        <v>5407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2.3346303501945526E-2</v>
      </c>
      <c r="O32" s="98">
        <f t="shared" si="7"/>
        <v>9.3385214007782102E-2</v>
      </c>
    </row>
    <row r="33" spans="1:15" x14ac:dyDescent="0.2">
      <c r="A33" s="121" t="s">
        <v>2663</v>
      </c>
      <c r="B33" s="44" t="str">
        <f>IF(LEN(VLOOKUP(A33,'Species List'!$A:$G,2,FALSE))=0,"",VLOOKUP(A33,'Species List'!$A:$G,2,FALSE))</f>
        <v>northern plains blazing star</v>
      </c>
      <c r="C33" s="44">
        <f>IF(LEN(VLOOKUP(A33,'Species List'!$A:$G,3,FALSE))=0,"",VLOOKUP(A33,'Species List'!$A:$G,3,FALSE))</f>
        <v>7</v>
      </c>
      <c r="D33" s="99">
        <f t="shared" si="4"/>
        <v>7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4" t="s">
        <v>5409</v>
      </c>
      <c r="K33" s="47" t="str">
        <f>VLOOKUP(J33,'Species List'!$H$1:$J$9,2,FALSE)</f>
        <v>&gt;0-1%</v>
      </c>
      <c r="L33" s="47">
        <f>VLOOKUP(K33,'Species List'!$I$1:$N$8,2,FALSE)</f>
        <v>0.5</v>
      </c>
      <c r="M33" s="100">
        <f t="shared" si="5"/>
        <v>0.5</v>
      </c>
      <c r="N33" s="98">
        <f t="shared" si="6"/>
        <v>3.8910505836575876E-3</v>
      </c>
      <c r="O33" s="98">
        <f t="shared" si="7"/>
        <v>2.7237354085603113E-2</v>
      </c>
    </row>
    <row r="34" spans="1:15" x14ac:dyDescent="0.2">
      <c r="A34" s="121" t="s">
        <v>2649</v>
      </c>
      <c r="B34" s="44" t="str">
        <f>IF(LEN(VLOOKUP(A34,'Species List'!$A:$G,2,FALSE))=0,"",VLOOKUP(A34,'Species List'!$A:$G,2,FALSE))</f>
        <v>round-headed bush clover</v>
      </c>
      <c r="C34" s="44">
        <f>IF(LEN(VLOOKUP(A34,'Species List'!$A:$G,3,FALSE))=0,"",VLOOKUP(A34,'Species List'!$A:$G,3,FALSE))</f>
        <v>3</v>
      </c>
      <c r="D34" s="99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24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2.3346303501945526E-2</v>
      </c>
      <c r="O34" s="98">
        <f t="shared" si="7"/>
        <v>7.0038910505836577E-2</v>
      </c>
    </row>
    <row r="35" spans="1:15" x14ac:dyDescent="0.2">
      <c r="A35" s="121" t="s">
        <v>5447</v>
      </c>
      <c r="B35" s="44" t="e">
        <f>IF(LEN(VLOOKUP(A35,'Species List'!$A:$G,2,FALSE))=0,"",VLOOKUP(A35,'Species List'!$A:$G,2,FALSE))</f>
        <v>#N/A</v>
      </c>
      <c r="C35" s="44">
        <v>2</v>
      </c>
      <c r="D35" s="99">
        <f t="shared" si="4"/>
        <v>2</v>
      </c>
      <c r="E35" s="44" t="s">
        <v>149</v>
      </c>
      <c r="F35" s="44" t="s">
        <v>147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4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2.3346303501945526E-2</v>
      </c>
      <c r="O35" s="98">
        <f t="shared" si="7"/>
        <v>4.6692607003891051E-2</v>
      </c>
    </row>
    <row r="36" spans="1:15" x14ac:dyDescent="0.2">
      <c r="A36" s="121" t="s">
        <v>552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6</v>
      </c>
      <c r="D36" s="99">
        <f t="shared" si="4"/>
        <v>6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/>
      </c>
      <c r="H36" s="44">
        <f>VLOOKUP(A36,'Species List'!$A:$G,7,FALSE)</f>
        <v>0</v>
      </c>
      <c r="J36" s="124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2.3346303501945526E-2</v>
      </c>
      <c r="O36" s="98">
        <f t="shared" si="7"/>
        <v>0.14007782101167315</v>
      </c>
    </row>
    <row r="37" spans="1:15" x14ac:dyDescent="0.2">
      <c r="A37" s="121" t="s">
        <v>551</v>
      </c>
      <c r="B37" s="44" t="str">
        <f>IF(LEN(VLOOKUP(A37,'Species List'!$A:$G,2,FALSE))=0,"",VLOOKUP(A37,'Species List'!$A:$G,2,FALSE))</f>
        <v>common milkweed</v>
      </c>
      <c r="C37" s="44">
        <f>IF(LEN(VLOOKUP(A37,'Species List'!$A:$G,3,FALSE))=0,"",VLOOKUP(A37,'Species List'!$A:$G,3,FALSE))</f>
        <v>1</v>
      </c>
      <c r="D37" s="99">
        <f t="shared" si="4"/>
        <v>1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4" t="s">
        <v>5409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100">
        <f t="shared" si="5"/>
        <v>0.5</v>
      </c>
      <c r="N37" s="98">
        <f t="shared" si="6"/>
        <v>3.8910505836575876E-3</v>
      </c>
      <c r="O37" s="98">
        <f t="shared" si="7"/>
        <v>3.8910505836575876E-3</v>
      </c>
    </row>
    <row r="38" spans="1:15" x14ac:dyDescent="0.2">
      <c r="A38" s="121" t="s">
        <v>2021</v>
      </c>
      <c r="B38" s="44" t="str">
        <f>IF(LEN(VLOOKUP(A38,'Species List'!$A:$G,2,FALSE))=0,"",VLOOKUP(A38,'Species List'!$A:$G,2,FALSE))</f>
        <v>rattlesnake master</v>
      </c>
      <c r="C38" s="44">
        <f>IF(LEN(VLOOKUP(A38,'Species List'!$A:$G,3,FALSE))=0,"",VLOOKUP(A38,'Species List'!$A:$G,3,FALSE))</f>
        <v>9</v>
      </c>
      <c r="D38" s="99">
        <f t="shared" si="4"/>
        <v>9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[FAC+]</v>
      </c>
      <c r="H38" s="44" t="str">
        <f>VLOOKUP(A38,'Species List'!$A:$G,7,FALSE)</f>
        <v>SC</v>
      </c>
      <c r="J38" s="124" t="s">
        <v>5409</v>
      </c>
      <c r="K38" s="47" t="str">
        <f>VLOOKUP(J38,'Species List'!$H$1:$J$9,2,FALSE)</f>
        <v>&gt;0-1%</v>
      </c>
      <c r="L38" s="47">
        <f>VLOOKUP(K38,'Species List'!$I$1:$N$8,2,FALSE)</f>
        <v>0.5</v>
      </c>
      <c r="M38" s="100">
        <f t="shared" si="5"/>
        <v>0.5</v>
      </c>
      <c r="N38" s="98">
        <f t="shared" si="6"/>
        <v>3.8910505836575876E-3</v>
      </c>
      <c r="O38" s="98">
        <f t="shared" si="7"/>
        <v>3.5019455252918288E-2</v>
      </c>
    </row>
    <row r="39" spans="1:15" x14ac:dyDescent="0.2">
      <c r="A39" s="121" t="s">
        <v>4658</v>
      </c>
      <c r="B39" s="44" t="str">
        <f>IF(LEN(VLOOKUP(A39,'Species List'!$A:$G,2,FALSE))=0,"",VLOOKUP(A39,'Species List'!$A:$G,2,FALSE))</f>
        <v>hoary vervain</v>
      </c>
      <c r="C39" s="44">
        <f>IF(LEN(VLOOKUP(A39,'Species List'!$A:$G,3,FALSE))=0,"",VLOOKUP(A39,'Species List'!$A:$G,3,FALSE))</f>
        <v>3</v>
      </c>
      <c r="D39" s="99">
        <f t="shared" si="4"/>
        <v>3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24" t="s">
        <v>5409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100">
        <f t="shared" si="5"/>
        <v>0.5</v>
      </c>
      <c r="N39" s="98">
        <f t="shared" si="6"/>
        <v>3.8910505836575876E-3</v>
      </c>
      <c r="O39" s="98">
        <f t="shared" si="7"/>
        <v>1.1673151750972763E-2</v>
      </c>
    </row>
    <row r="40" spans="1:15" x14ac:dyDescent="0.2">
      <c r="A40" s="121" t="s">
        <v>4827</v>
      </c>
      <c r="B40" s="44" t="str">
        <f>IF(LEN(VLOOKUP(A40,'Species List'!$A:$G,2,FALSE))=0,"",VLOOKUP(A40,'Species List'!$A:$G,2,FALSE))</f>
        <v>golden alexanders</v>
      </c>
      <c r="C40" s="44">
        <f>IF(LEN(VLOOKUP(A40,'Species List'!$A:$G,3,FALSE))=0,"",VLOOKUP(A40,'Species List'!$A:$G,3,FALSE))</f>
        <v>6</v>
      </c>
      <c r="D40" s="99">
        <f t="shared" si="4"/>
        <v>6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FAC+</v>
      </c>
      <c r="H40" s="44">
        <f>VLOOKUP(A40,'Species List'!$A:$G,7,FALSE)</f>
        <v>0</v>
      </c>
      <c r="J40" s="124" t="s">
        <v>5407</v>
      </c>
      <c r="K40" s="47" t="str">
        <f>VLOOKUP(J40,'Species List'!$H$1:$J$9,2,FALSE)</f>
        <v>&gt;1-5%</v>
      </c>
      <c r="L40" s="47">
        <f>VLOOKUP(K40,'Species List'!$I$1:$N$8,2,FALSE)</f>
        <v>3</v>
      </c>
      <c r="M40" s="100">
        <f t="shared" si="5"/>
        <v>3</v>
      </c>
      <c r="N40" s="98">
        <f t="shared" si="6"/>
        <v>2.3346303501945526E-2</v>
      </c>
      <c r="O40" s="98">
        <f t="shared" si="7"/>
        <v>0.14007782101167315</v>
      </c>
    </row>
    <row r="41" spans="1:15" x14ac:dyDescent="0.2">
      <c r="A41" s="121" t="s">
        <v>3879</v>
      </c>
      <c r="B41" s="44" t="str">
        <f>IF(LEN(VLOOKUP(A41,'Species List'!$A:$G,2,FALSE))=0,"",VLOOKUP(A41,'Species List'!$A:$G,2,FALSE))</f>
        <v>black-eyed susan</v>
      </c>
      <c r="C41" s="44">
        <f>IF(LEN(VLOOKUP(A41,'Species List'!$A:$G,3,FALSE))=0,"",VLOOKUP(A41,'Species List'!$A:$G,3,FALSE))</f>
        <v>4</v>
      </c>
      <c r="D41" s="99">
        <f t="shared" si="4"/>
        <v>4</v>
      </c>
      <c r="E41" s="44" t="str">
        <f>IF(LEN(VLOOKUP(A41,'Species List'!$A:$G,4,FALSE))=0,"",VLOOKUP(A41,'Species List'!$A:$G,4,FALSE))</f>
        <v/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</v>
      </c>
      <c r="H41" s="44">
        <f>VLOOKUP(A41,'Species List'!$A:$G,7,FALSE)</f>
        <v>0</v>
      </c>
      <c r="J41" s="124" t="s">
        <v>5407</v>
      </c>
      <c r="K41" s="47" t="str">
        <f>VLOOKUP(J41,'Species List'!$H$1:$J$9,2,FALSE)</f>
        <v>&gt;1-5%</v>
      </c>
      <c r="L41" s="47">
        <f>VLOOKUP(K41,'Species List'!$I$1:$N$8,2,FALSE)</f>
        <v>3</v>
      </c>
      <c r="M41" s="100">
        <f t="shared" si="5"/>
        <v>3</v>
      </c>
      <c r="N41" s="98">
        <f t="shared" si="6"/>
        <v>2.3346303501945526E-2</v>
      </c>
      <c r="O41" s="98">
        <f t="shared" si="7"/>
        <v>9.3385214007782102E-2</v>
      </c>
    </row>
    <row r="42" spans="1:15" x14ac:dyDescent="0.2">
      <c r="A42" s="121" t="s">
        <v>1653</v>
      </c>
      <c r="B42" s="44" t="str">
        <f>IF(LEN(VLOOKUP(A42,'Species List'!$A:$G,2,FALSE))=0,"",VLOOKUP(A42,'Species List'!$A:$G,2,FALSE))</f>
        <v>Canada tick trefoil</v>
      </c>
      <c r="C42" s="44">
        <f>IF(LEN(VLOOKUP(A42,'Species List'!$A:$G,3,FALSE))=0,"",VLOOKUP(A42,'Species List'!$A:$G,3,FALSE))</f>
        <v>4</v>
      </c>
      <c r="D42" s="99">
        <f t="shared" si="4"/>
        <v>4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FAC-</v>
      </c>
      <c r="H42" s="44">
        <f>VLOOKUP(A42,'Species List'!$A:$G,7,FALSE)</f>
        <v>0</v>
      </c>
      <c r="J42" s="124" t="s">
        <v>5407</v>
      </c>
      <c r="K42" s="47" t="str">
        <f>VLOOKUP(J42,'Species List'!$H$1:$J$9,2,FALSE)</f>
        <v>&gt;1-5%</v>
      </c>
      <c r="L42" s="47">
        <f>VLOOKUP(K42,'Species List'!$I$1:$N$8,2,FALSE)</f>
        <v>3</v>
      </c>
      <c r="M42" s="100">
        <f t="shared" si="5"/>
        <v>3</v>
      </c>
      <c r="N42" s="98">
        <f t="shared" si="6"/>
        <v>2.3346303501945526E-2</v>
      </c>
      <c r="O42" s="98">
        <f t="shared" si="7"/>
        <v>9.3385214007782102E-2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128.5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B6" sqref="B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1" t="s">
        <v>783</v>
      </c>
      <c r="B12" s="44" t="str">
        <f>IF(LEN(VLOOKUP(A12,'Species List'!$A:$G,2,FALSE))=0,"",VLOOKUP(A12,'Species List'!$A:$G,2,FALSE))</f>
        <v>smooth brome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4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78" si="1">VALUE(L12)</f>
        <v>15</v>
      </c>
      <c r="N12" s="107">
        <f t="shared" ref="N12:N77" si="2">L12/$L$153</f>
        <v>0.2608695652173913</v>
      </c>
      <c r="O12" s="107">
        <f t="shared" ref="O12:O78" si="3">D12*N12</f>
        <v>0</v>
      </c>
    </row>
    <row r="13" spans="1:15" x14ac:dyDescent="0.2">
      <c r="A13" s="121" t="s">
        <v>4032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[FACU-]</v>
      </c>
      <c r="H13" s="44">
        <f>VLOOKUP(A13,'Species List'!$A:$G,7,FALSE)</f>
        <v>0</v>
      </c>
      <c r="J13" s="124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7">
        <f t="shared" si="2"/>
        <v>5.2173913043478258E-2</v>
      </c>
      <c r="O13" s="107">
        <f t="shared" si="3"/>
        <v>0.2608695652173913</v>
      </c>
    </row>
    <row r="14" spans="1:15" x14ac:dyDescent="0.2">
      <c r="A14" s="121" t="s">
        <v>756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6</v>
      </c>
      <c r="D14" s="99">
        <f t="shared" si="0"/>
        <v>6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4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6">
        <f t="shared" si="2"/>
        <v>5.2173913043478258E-2</v>
      </c>
      <c r="O14" s="106">
        <f t="shared" si="3"/>
        <v>0.31304347826086953</v>
      </c>
    </row>
    <row r="15" spans="1:15" x14ac:dyDescent="0.2">
      <c r="A15" s="121" t="s">
        <v>4270</v>
      </c>
      <c r="B15" s="44" t="str">
        <f>IF(LEN(VLOOKUP(A15,'Species List'!$A:$G,2,FALSE))=0,"",VLOOKUP(A15,'Species List'!$A:$G,2,FALSE))</f>
        <v>Indian grass</v>
      </c>
      <c r="C15" s="44">
        <f>IF(LEN(VLOOKUP(A15,'Species List'!$A:$G,3,FALSE))=0,"",VLOOKUP(A15,'Species List'!$A:$G,3,FALSE))</f>
        <v>5</v>
      </c>
      <c r="D15" s="99">
        <f t="shared" si="0"/>
        <v>5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FACU+</v>
      </c>
      <c r="H15" s="44">
        <f>VLOOKUP(A15,'Species List'!$A:$G,7,FALSE)</f>
        <v>0</v>
      </c>
      <c r="J15" s="124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si="1"/>
        <v>15</v>
      </c>
      <c r="N15" s="98">
        <f t="shared" si="2"/>
        <v>0.2608695652173913</v>
      </c>
      <c r="O15" s="98">
        <f t="shared" si="3"/>
        <v>1.3043478260869565</v>
      </c>
    </row>
    <row r="16" spans="1:15" x14ac:dyDescent="0.2">
      <c r="A16" s="121" t="s">
        <v>3182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1</v>
      </c>
      <c r="D16" s="99">
        <f t="shared" si="0"/>
        <v>1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124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5.2173913043478258E-2</v>
      </c>
      <c r="O16" s="98">
        <f t="shared" si="3"/>
        <v>5.2173913043478258E-2</v>
      </c>
    </row>
    <row r="17" spans="1:15" x14ac:dyDescent="0.2">
      <c r="A17" s="121" t="s">
        <v>3443</v>
      </c>
      <c r="B17" s="44" t="str">
        <f>IF(LEN(VLOOKUP(A17,'Species List'!$A:$G,2,FALSE))=0,"",VLOOKUP(A17,'Species List'!$A:$G,2,FALSE))</f>
        <v>Kentucky bluegrass</v>
      </c>
      <c r="C17" s="44">
        <f>IF(LEN(VLOOKUP(A17,'Species List'!$A:$G,3,FALSE))=0,"",VLOOKUP(A17,'Species List'!$A:$G,3,FALSE))</f>
        <v>0</v>
      </c>
      <c r="D17" s="99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4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1"/>
        <v>15</v>
      </c>
      <c r="N17" s="98">
        <f t="shared" si="2"/>
        <v>0.2608695652173913</v>
      </c>
      <c r="O17" s="98">
        <f t="shared" si="3"/>
        <v>0</v>
      </c>
    </row>
    <row r="18" spans="1:15" x14ac:dyDescent="0.2">
      <c r="A18" s="121" t="s">
        <v>373</v>
      </c>
      <c r="B18" s="44" t="str">
        <f>IF(LEN(VLOOKUP(A18,'Species List'!$A:$G,2,FALSE))=0,"",VLOOKUP(A18,'Species List'!$A:$G,2,FALSE))</f>
        <v>big bluestem</v>
      </c>
      <c r="C18" s="44">
        <f>IF(LEN(VLOOKUP(A18,'Species List'!$A:$G,3,FALSE))=0,"",VLOOKUP(A18,'Species List'!$A:$G,3,FALSE))</f>
        <v>4</v>
      </c>
      <c r="D18" s="99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24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5.2173913043478258E-2</v>
      </c>
      <c r="O18" s="98">
        <f t="shared" si="3"/>
        <v>0.20869565217391303</v>
      </c>
    </row>
    <row r="19" spans="1:15" x14ac:dyDescent="0.2">
      <c r="A19" s="121" t="s">
        <v>1892</v>
      </c>
      <c r="B19" s="44" t="str">
        <f>IF(LEN(VLOOKUP(A19,'Species List'!$A:$G,2,FALSE))=0,"",VLOOKUP(A19,'Species List'!$A:$G,2,FALSE))</f>
        <v>Virginia wildrye</v>
      </c>
      <c r="C19" s="44">
        <f>IF(LEN(VLOOKUP(A19,'Species List'!$A:$G,3,FALSE))=0,"",VLOOKUP(A19,'Species List'!$A:$G,3,FALSE))</f>
        <v>4</v>
      </c>
      <c r="D19" s="99">
        <f t="shared" si="0"/>
        <v>4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FACW-</v>
      </c>
      <c r="H19" s="44">
        <f>VLOOKUP(A19,'Species List'!$A:$G,7,FALSE)</f>
        <v>0</v>
      </c>
      <c r="J19" s="124" t="s">
        <v>5409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100">
        <f t="shared" si="1"/>
        <v>0.5</v>
      </c>
      <c r="N19" s="98">
        <f t="shared" si="2"/>
        <v>8.6956521739130436E-3</v>
      </c>
      <c r="O19" s="98">
        <f t="shared" si="3"/>
        <v>3.4782608695652174E-2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5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5376</v>
      </c>
      <c r="J153" s="149"/>
      <c r="K153" s="150"/>
      <c r="L153" s="63">
        <f>SUMIF(L12:L152,"&gt;=0")</f>
        <v>57.5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7</v>
      </c>
      <c r="C4" s="102">
        <f>COUNTIF(Forbs!$F$12:$F$150,"Native")</f>
        <v>28</v>
      </c>
      <c r="D4" s="102">
        <f>COUNTIF(Grasses!$F$12:$F$151,"Native")</f>
        <v>6</v>
      </c>
      <c r="E4" s="102">
        <f>AVERAGE(B4:D4)</f>
        <v>13.666666666666666</v>
      </c>
      <c r="F4" s="102">
        <f>SUM(B4:D4)</f>
        <v>41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3</v>
      </c>
      <c r="D5" s="102">
        <f>COUNTIF(Grasses!$F12:$F201,"Introduced")</f>
        <v>2</v>
      </c>
      <c r="E5" s="102">
        <f t="shared" ref="E5:E6" si="0">AVERAGE(B5:D5)</f>
        <v>2.3333333333333335</v>
      </c>
      <c r="F5" s="102">
        <f>SUM(B5:D5)</f>
        <v>7</v>
      </c>
    </row>
    <row r="6" spans="1:6" s="81" customFormat="1" ht="21" x14ac:dyDescent="0.35">
      <c r="A6" s="53" t="s">
        <v>5411</v>
      </c>
      <c r="B6" s="102">
        <f>SUM(B4:B5)</f>
        <v>9</v>
      </c>
      <c r="C6" s="102">
        <f>SUM(C4:C5)</f>
        <v>31</v>
      </c>
      <c r="D6" s="102">
        <f>SUM(D4:D5)</f>
        <v>8</v>
      </c>
      <c r="E6" s="102">
        <f t="shared" si="0"/>
        <v>16</v>
      </c>
      <c r="F6" s="102">
        <f>SUM(B6:D6)</f>
        <v>48</v>
      </c>
    </row>
    <row r="7" spans="1:6" ht="18" x14ac:dyDescent="0.25">
      <c r="A7" s="53" t="s">
        <v>4843</v>
      </c>
      <c r="B7" s="102">
        <f>AVERAGEIF(Woody!D12:D152,"&gt;0")</f>
        <v>3</v>
      </c>
      <c r="C7" s="102">
        <f>AVERAGEIF(Forbs!D12:D152,"&gt;0")</f>
        <v>4.2857142857142856</v>
      </c>
      <c r="D7" s="102">
        <f>AVERAGEIF(Grasses!D12:D152,"&gt;0")</f>
        <v>4.166666666666667</v>
      </c>
      <c r="E7" s="102">
        <f>AVERAGE(B7:D7)</f>
        <v>3.8174603174603177</v>
      </c>
      <c r="F7" s="102">
        <f>(SUMIF(Woody!D12:D152,"&gt;0")+SUMIF(Forbs!D12:D152,"&gt;0")+SUMIF(Grasses!D12:D152,"&gt;0"))/(COUNTIF(Woody!D12:D152,"&gt;0")+COUNTIF(Forbs!D12:D152,"&gt;0")+COUNTIF(Grasses!D12:D152,"&gt;0"))</f>
        <v>4.0487804878048781</v>
      </c>
    </row>
    <row r="8" spans="1:6" s="31" customFormat="1" ht="21" x14ac:dyDescent="0.35">
      <c r="A8" s="53" t="s">
        <v>5412</v>
      </c>
      <c r="B8" s="102">
        <f>AVERAGEIF(Woody!D12:D152,"&gt;=0")</f>
        <v>2.3333333333333335</v>
      </c>
      <c r="C8" s="102">
        <f>AVERAGEIF(Forbs!D12:D152,"&gt;=0")</f>
        <v>3.870967741935484</v>
      </c>
      <c r="D8" s="102">
        <f>AVERAGEIF(Grasses!D12:D152,"&gt;=0")</f>
        <v>3.125</v>
      </c>
      <c r="E8" s="102">
        <f>AVERAGE(B8:D8)</f>
        <v>3.1097670250896061</v>
      </c>
      <c r="F8" s="102">
        <f>(SUMIF(Woody!D12:D152,"&gt;=0")+SUMIF(Forbs!D12:D152,"&gt;=0")+SUMIF(Grasses!D12:D152,"&gt;=0"))/(COUNTIF(Woody!D12:D152,"&gt;=0")+COUNTIF(Forbs!D12:D152,"&gt;=0")+COUNTIF(Grasses!D12:D152,"&gt;=0"))</f>
        <v>3.4583333333333335</v>
      </c>
    </row>
    <row r="9" spans="1:6" ht="18" x14ac:dyDescent="0.25">
      <c r="A9" s="53" t="s">
        <v>4836</v>
      </c>
      <c r="B9" s="102">
        <f>SQRT(B4)*B7</f>
        <v>7.9372539331937721</v>
      </c>
      <c r="C9" s="102">
        <f>SQRT(C4)*C7</f>
        <v>22.677868380553633</v>
      </c>
      <c r="D9" s="102">
        <f>SQRT(D4)*D7</f>
        <v>10.206207261596575</v>
      </c>
      <c r="E9" s="102">
        <f>SQRT(E4)*E7</f>
        <v>14.112561004187643</v>
      </c>
      <c r="F9" s="102">
        <f>SQRT(F4)*F7</f>
        <v>25.924844473508607</v>
      </c>
    </row>
    <row r="10" spans="1:6" s="82" customFormat="1" ht="21" x14ac:dyDescent="0.35">
      <c r="A10" s="53" t="s">
        <v>5413</v>
      </c>
      <c r="B10" s="102">
        <f>SQRT(B6)*B8</f>
        <v>7</v>
      </c>
      <c r="C10" s="102">
        <f>SQRT(C6)*C8</f>
        <v>21.552636243212987</v>
      </c>
      <c r="D10" s="102">
        <f>SQRT(D6)*D8</f>
        <v>8.8388347648318444</v>
      </c>
      <c r="E10" s="102">
        <f>SQRT(E6)*E8</f>
        <v>12.439068100358424</v>
      </c>
      <c r="F10" s="102">
        <f>SQRT(F6)*F8</f>
        <v>23.96003617136947</v>
      </c>
    </row>
    <row r="11" spans="1:6" ht="18" x14ac:dyDescent="0.25">
      <c r="A11" s="53" t="s">
        <v>4844</v>
      </c>
      <c r="B11" s="102">
        <f>SUMIF(Woody!$M$12:$M$152,"&gt;=0")</f>
        <v>60.5</v>
      </c>
      <c r="C11" s="102">
        <f>SUMIF(Forbs!$M$12:$M$153,"&gt;=0")</f>
        <v>128.5</v>
      </c>
      <c r="D11" s="102">
        <f>SUMIF(Grasses!$M$12:$M$152,"&gt;=0")</f>
        <v>57.5</v>
      </c>
      <c r="E11" s="102">
        <f>AVERAGE(B11:D11)</f>
        <v>82.166666666666671</v>
      </c>
      <c r="F11" s="102">
        <f>SUM(B11:D11)</f>
        <v>246.5</v>
      </c>
    </row>
    <row r="12" spans="1:6" ht="18" x14ac:dyDescent="0.25">
      <c r="A12" s="53" t="s">
        <v>5377</v>
      </c>
      <c r="B12" s="102">
        <f>SUMIF(Woody!$F$12:$F$152,"Introduced",Woody!$L$12:$L$152)</f>
        <v>18</v>
      </c>
      <c r="C12" s="102">
        <f>SUMIF(Forbs!$F$12:$F$153,"Introduced",Forbs!$L$12:$L$153)</f>
        <v>9</v>
      </c>
      <c r="D12" s="102">
        <f>SUMIF(Grasses!$F$12:$F$152,"Introduced",Grasses!$L$12:$L$152)</f>
        <v>30</v>
      </c>
      <c r="E12" s="102">
        <f>AVERAGE(B12:D12)</f>
        <v>19</v>
      </c>
      <c r="F12" s="102">
        <f>SUM(B12:D12)</f>
        <v>57</v>
      </c>
    </row>
    <row r="13" spans="1:6" ht="18.75" thickBot="1" x14ac:dyDescent="0.3">
      <c r="A13" s="54" t="s">
        <v>4845</v>
      </c>
      <c r="B13" s="103">
        <f>B12/B11</f>
        <v>0.2975206611570248</v>
      </c>
      <c r="C13" s="103">
        <f>C12/C11</f>
        <v>7.0038910505836577E-2</v>
      </c>
      <c r="D13" s="103">
        <f>D12/D11</f>
        <v>0.52173913043478259</v>
      </c>
      <c r="E13" s="103">
        <f>E12/E11</f>
        <v>0.23123732251521298</v>
      </c>
      <c r="F13" s="103">
        <f>F12/F11</f>
        <v>0.23123732251521298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1.7520661157024793</v>
      </c>
      <c r="C15" s="101">
        <f>SUMIF(Forbs!$O$12:$O$152,"&gt;=0")</f>
        <v>3.5486381322957201</v>
      </c>
      <c r="D15" s="101">
        <f>SUMIF(Grasses!$O$12:$O$152,"&gt;=0")</f>
        <v>2.1739130434782608</v>
      </c>
      <c r="E15" s="101">
        <f>AVERAGE(B15:D15)</f>
        <v>2.49153909715882</v>
      </c>
      <c r="F15" s="102">
        <f>SUM(B15:D15)</f>
        <v>7.4746172914764601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2023-01-27T17:48:35Z</dcterms:modified>
</cp:coreProperties>
</file>