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5DDB27BC-4967-4DC1-8FF1-D9B3F643804E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D26" i="10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E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F12" i="7" l="1"/>
  <c r="N12" i="6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<sst xmlns="http://schemas.openxmlformats.org/spreadsheetml/2006/main" count="13141" uniqueCount="5449">
  <si>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</si>
  <si>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</si>
  <si>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</si>
  <si>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</si>
  <si>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</si>
  <si>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</si>
  <si>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</si>
  <si>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</si>
  <si>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</si>
  <si>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</si>
  <si>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</si>
  <si>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</si>
  <si>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</si>
  <si>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</si>
  <si>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</si>
  <si>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</si>
  <si>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</si>
  <si>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</si>
  <si>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</si>
  <si>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</si>
  <si>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</si>
  <si>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</si>
  <si>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</si>
  <si>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</si>
  <si>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</si>
  <si>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</si>
  <si>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</si>
  <si>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</si>
  <si>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</si>
  <si>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</si>
  <si>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</si>
  <si>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</si>
  <si>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</si>
  <si>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</si>
  <si>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</si>
  <si>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</si>
  <si>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</si>
  <si>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</si>
  <si>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</si>
  <si>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</si>
  <si>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</si>
  <si>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</si>
  <si>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</si>
  <si>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</si>
  <si>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</si>
  <si>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</si>
  <si>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</si>
  <si>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</si>
  <si>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</si>
  <si>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</si>
  <si>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</si>
  <si>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</si>
  <si>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</si>
  <si>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</si>
  <si>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</si>
  <si>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</si>
  <si>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</si>
  <si>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</si>
  <si>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</si>
  <si>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</si>
  <si>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</si>
  <si>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</si>
  <si>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</si>
  <si>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</si>
  <si>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</si>
  <si>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</si>
  <si>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</si>
  <si>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</si>
  <si>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</si>
  <si>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</si>
  <si>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</si>
  <si>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</si>
  <si>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</si>
  <si>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</si>
  <si>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</si>
  <si>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</si>
  <si>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</si>
  <si>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</si>
  <si>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</si>
  <si>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</si>
  <si>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</si>
  <si>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</si>
  <si>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</si>
  <si>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</si>
  <si>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</si>
  <si>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</si>
  <si>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</si>
  <si>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</si>
  <si>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</si>
  <si>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</si>
  <si>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</si>
  <si>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</si>
  <si>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</si>
  <si>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</si>
  <si>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</si>
  <si>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</si>
  <si>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</si>
  <si>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</si>
  <si>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</si>
  <si>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</si>
  <si>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</si>
  <si>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</si>
  <si>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</si>
  <si>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</si>
  <si>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</si>
  <si>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</si>
  <si>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</si>
  <si>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</si>
  <si>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</si>
  <si>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</si>
  <si>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</si>
  <si>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</si>
  <si>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</si>
  <si>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</si>
  <si>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</si>
  <si>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</si>
  <si>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</si>
  <si>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</si>
  <si>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</si>
  <si>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</si>
  <si>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</si>
  <si>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</si>
  <si>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</si>
  <si>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</si>
  <si>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</si>
  <si>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</si>
  <si>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</si>
  <si>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</si>
  <si>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</si>
  <si>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</si>
  <si>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</si>
  <si>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</si>
  <si>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</si>
  <si>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</si>
  <si>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</si>
  <si>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</si>
  <si>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</si>
  <si>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</si>
  <si>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</si>
  <si>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</si>
  <si>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</si>
  <si>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</si>
  <si>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</si>
  <si>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</si>
  <si>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</si>
  <si>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</si>
  <si>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</si>
  <si>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</si>
  <si>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</si>
  <si>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</si>
  <si>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</si>
  <si>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</si>
  <si>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</si>
  <si>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</si>
  <si>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</si>
  <si>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</si>
  <si>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</si>
  <si>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</si>
  <si>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</si>
  <si>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</si>
  <si>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</si>
  <si>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</si>
  <si>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</si>
  <si>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</si>
  <si>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</si>
  <si>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</si>
  <si>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</si>
  <si>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</si>
  <si>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</si>
  <si>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</si>
  <si>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</si>
  <si>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</si>
  <si>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</si>
  <si>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</si>
  <si>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</si>
  <si>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</si>
  <si>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</si>
  <si>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</si>
  <si>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</si>
  <si>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</si>
  <si>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</si>
  <si>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</si>
  <si>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</si>
  <si>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</si>
  <si>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</si>
  <si>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</si>
  <si>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</si>
  <si>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</si>
  <si>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</si>
  <si>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</si>
  <si>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</si>
  <si>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</si>
  <si>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</si>
  <si>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</si>
  <si>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</si>
  <si>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</si>
  <si>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</si>
  <si>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</si>
  <si>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</si>
  <si>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</si>
  <si>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</si>
  <si>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</si>
  <si>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</si>
  <si>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</si>
  <si>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</si>
  <si>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</si>
  <si>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</si>
  <si>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</si>
  <si>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</si>
  <si>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</si>
  <si>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</si>
  <si>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</si>
  <si>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</si>
  <si>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</si>
  <si>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</si>
  <si>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</si>
  <si>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</si>
  <si>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</si>
  <si>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</si>
  <si>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</si>
  <si>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</si>
  <si>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</si>
  <si>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</si>
  <si>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</si>
  <si>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</si>
  <si>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</si>
  <si>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</si>
  <si>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</si>
  <si>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</si>
  <si>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</si>
  <si>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</si>
  <si>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</si>
  <si>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</si>
  <si>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</si>
  <si>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</si>
  <si>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</si>
  <si>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</si>
  <si>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</si>
  <si>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</si>
  <si>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</si>
  <si>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</si>
  <si>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</si>
  <si>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</si>
  <si>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</si>
  <si>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</si>
  <si>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</si>
  <si>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</si>
  <si>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</si>
  <si>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</si>
  <si>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</si>
  <si>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</si>
  <si>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</si>
  <si>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</si>
  <si>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</si>
  <si>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</si>
  <si>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</si>
  <si>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</si>
  <si>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</si>
  <si>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</si>
  <si>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</si>
  <si>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</si>
  <si>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</si>
  <si>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</si>
  <si>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</si>
  <si>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</si>
  <si>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</si>
  <si>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</si>
  <si>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</si>
  <si>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</si>
  <si>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</si>
  <si>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</si>
  <si>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</si>
  <si>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</si>
  <si>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</si>
  <si>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</si>
  <si>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</si>
  <si>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</si>
  <si>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</si>
  <si>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</si>
  <si>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</si>
  <si>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</si>
  <si>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</si>
  <si>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</si>
  <si>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</si>
  <si>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</si>
  <si>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</si>
  <si>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</si>
  <si>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</si>
  <si>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</si>
  <si>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</si>
  <si>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</si>
  <si>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</si>
  <si>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</si>
  <si>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</si>
  <si>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</si>
  <si>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</si>
  <si>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</si>
  <si>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</si>
  <si>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</si>
  <si>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</si>
  <si>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</si>
  <si>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</si>
  <si>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</si>
  <si>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</si>
  <si>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</si>
  <si>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</si>
  <si>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</si>
  <si>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</si>
  <si>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</si>
  <si>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</si>
  <si>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</si>
  <si>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</si>
  <si>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</si>
  <si>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</si>
  <si>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</si>
  <si>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</si>
  <si>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</si>
  <si>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</si>
  <si>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</si>
  <si>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</si>
  <si>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</si>
  <si>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</si>
  <si>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</si>
  <si>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</si>
  <si>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</si>
  <si>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</si>
  <si>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</si>
  <si>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</si>
  <si>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</si>
  <si>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</si>
  <si>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</si>
  <si>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</si>
  <si>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</si>
  <si>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</si>
  <si>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</si>
  <si>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</si>
  <si>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</si>
  <si>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</si>
  <si>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</si>
  <si>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</si>
  <si>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</si>
  <si>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</si>
  <si>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</si>
  <si>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</si>
  <si>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</si>
  <si>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</si>
  <si>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</si>
  <si>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</si>
  <si>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</si>
  <si>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</si>
  <si>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</si>
  <si>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</si>
  <si>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</si>
  <si>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</si>
  <si>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</si>
  <si>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</si>
  <si>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</si>
  <si>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</si>
  <si>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</si>
  <si>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</si>
  <si>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</si>
  <si>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</si>
  <si>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</si>
  <si>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</si>
  <si>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</si>
  <si>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</si>
  <si>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</si>
  <si>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</si>
  <si>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</si>
  <si>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</si>
  <si>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</si>
  <si>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</si>
  <si>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</si>
  <si>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</si>
  <si>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</si>
  <si>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</si>
  <si>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</si>
  <si>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</si>
  <si>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</si>
  <si>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</si>
  <si>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</si>
  <si>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</si>
  <si>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</si>
  <si>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</si>
  <si>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</si>
  <si>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</si>
  <si>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</si>
  <si>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</si>
  <si>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</si>
  <si>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</si>
  <si>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</si>
  <si>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</si>
  <si>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</si>
  <si>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</si>
  <si>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</si>
  <si>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</si>
  <si>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</si>
  <si>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</si>
  <si>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</si>
  <si>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</si>
  <si>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</si>
  <si>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</si>
  <si>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</si>
  <si>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</si>
  <si>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</si>
  <si>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</si>
  <si>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</si>
  <si>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</si>
  <si>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</si>
  <si>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</si>
  <si>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</si>
  <si>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</si>
  <si>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</si>
  <si>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</si>
  <si>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</si>
  <si>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</si>
  <si>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</si>
  <si>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</si>
  <si>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</si>
  <si>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</si>
  <si>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</si>
  <si>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</si>
  <si>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</si>
  <si>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</si>
  <si>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</si>
  <si>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</si>
  <si>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</si>
  <si>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</si>
  <si>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</si>
  <si>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</si>
  <si>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</si>
  <si>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</si>
  <si>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</si>
  <si>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</si>
  <si>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</si>
  <si>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</si>
  <si>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</si>
  <si>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</si>
  <si>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</si>
  <si>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</si>
  <si>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</si>
  <si>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</si>
  <si>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</si>
  <si>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</si>
  <si>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</si>
  <si>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</si>
  <si>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</si>
  <si>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</si>
  <si>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</si>
  <si>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</si>
  <si>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</si>
  <si>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</si>
  <si>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</si>
  <si>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</si>
  <si>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</si>
  <si>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</si>
  <si>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</si>
  <si>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</si>
  <si>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</si>
  <si>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</si>
  <si>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</si>
  <si>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</si>
  <si>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</si>
  <si>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</si>
  <si>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</si>
  <si>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</si>
  <si>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</si>
  <si>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</si>
  <si>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</si>
  <si>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</si>
  <si>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</si>
  <si>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</si>
  <si>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</si>
  <si>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</si>
  <si>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</si>
  <si>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</si>
  <si>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</si>
  <si>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</si>
  <si>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</si>
  <si>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</si>
  <si>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</si>
  <si>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</si>
  <si>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</si>
  <si>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</si>
  <si>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</si>
  <si>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</si>
  <si>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</si>
  <si>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</si>
  <si>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</si>
  <si>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</si>
  <si>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</si>
  <si>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</si>
  <si>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</si>
  <si>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</si>
  <si>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</si>
  <si>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</si>
  <si>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</si>
  <si>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</si>
  <si>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</si>
  <si>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</si>
  <si>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</si>
  <si>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</si>
  <si>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</si>
  <si>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</si>
  <si>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</si>
  <si>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</si>
  <si>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</si>
  <si>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</si>
  <si>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</si>
  <si>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</si>
  <si>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</si>
  <si>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</si>
  <si>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</si>
  <si>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</si>
  <si>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</si>
  <si>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</si>
  <si>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</si>
  <si>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</si>
  <si>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</si>
  <si>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</si>
  <si>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</si>
  <si>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</si>
  <si>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</si>
  <si>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</si>
  <si>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</si>
  <si>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</si>
  <si>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</si>
  <si>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</si>
  <si>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</si>
  <si>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</si>
  <si>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</si>
  <si>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</si>
  <si>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</si>
  <si>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</si>
  <si>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</si>
  <si>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</si>
  <si>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</si>
  <si>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</si>
  <si>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</si>
  <si>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</si>
  <si>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</si>
  <si>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</si>
  <si>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</si>
  <si>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</si>
  <si>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</si>
  <si>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</si>
  <si>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</si>
  <si>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</si>
  <si>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</si>
  <si>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</si>
  <si>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</si>
  <si>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</si>
  <si>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</si>
  <si>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</si>
  <si>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</si>
  <si>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</si>
  <si>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</si>
  <si>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</si>
  <si>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</si>
  <si>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</si>
  <si>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</si>
  <si>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</si>
  <si>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</si>
  <si>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</si>
  <si>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</si>
  <si>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</si>
  <si>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</si>
  <si>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</si>
  <si>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</si>
  <si>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</si>
  <si>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</si>
  <si>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</si>
  <si>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</si>
  <si>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</si>
  <si>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</si>
  <si>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</si>
  <si>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</si>
  <si>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</si>
  <si>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</si>
  <si>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</si>
  <si>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</si>
  <si>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</si>
  <si>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</si>
  <si>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</si>
  <si>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</si>
  <si>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</si>
  <si>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</si>
  <si>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</si>
  <si>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</si>
  <si>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</si>
  <si>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</si>
  <si>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</si>
  <si>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</si>
  <si>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</si>
  <si>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</si>
  <si>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</si>
  <si>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</si>
  <si>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</si>
  <si>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</si>
  <si>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</si>
  <si>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</si>
  <si>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</si>
  <si>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</si>
  <si>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</si>
  <si>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</si>
  <si>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</si>
  <si>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</si>
  <si>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</si>
  <si>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</si>
  <si>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</si>
  <si>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</si>
  <si>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</si>
  <si>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</si>
  <si>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</si>
  <si>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</si>
  <si>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</si>
  <si>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</si>
  <si>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</si>
  <si>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</si>
  <si>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</si>
  <si>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</si>
  <si>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</si>
  <si>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</si>
  <si>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</si>
  <si>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</si>
  <si>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</si>
  <si>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</si>
  <si>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</si>
  <si>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</si>
  <si>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</si>
  <si>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</si>
  <si>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</si>
  <si>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</si>
  <si>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</si>
  <si>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</si>
  <si>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</si>
  <si>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</si>
  <si>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</si>
  <si>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</si>
  <si>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</si>
  <si>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</si>
  <si>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</si>
  <si>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</si>
  <si>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</si>
  <si>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</si>
  <si>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</si>
  <si>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</si>
  <si>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</si>
  <si>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</si>
  <si>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</si>
  <si>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</si>
  <si>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</si>
  <si>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</si>
  <si>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</si>
  <si>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</si>
  <si>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</si>
  <si>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</si>
  <si>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</si>
  <si>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</si>
  <si>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</si>
  <si>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</si>
  <si>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</si>
  <si>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</si>
  <si>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</si>
  <si>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</si>
  <si>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</si>
  <si>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</si>
  <si>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</si>
  <si>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</si>
  <si>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</si>
  <si>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</si>
  <si>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</si>
  <si>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</si>
  <si>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</si>
  <si>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</si>
  <si>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</si>
  <si>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</si>
  <si>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</si>
  <si>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</si>
  <si>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</si>
  <si>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</si>
  <si>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</si>
  <si>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</si>
  <si>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</si>
  <si>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</si>
  <si>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</si>
  <si>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</si>
  <si>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</si>
  <si>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</si>
  <si>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</si>
  <si>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</si>
  <si>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</si>
  <si>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</si>
  <si>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</si>
  <si>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</si>
  <si>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</si>
  <si>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</si>
  <si>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</si>
  <si>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</si>
  <si>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</si>
  <si>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</si>
  <si>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</si>
  <si>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</si>
  <si>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</si>
  <si>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</si>
  <si>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</si>
  <si>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</si>
  <si>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</si>
  <si>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</si>
  <si>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</si>
  <si>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</si>
  <si>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</si>
  <si>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</si>
  <si>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</si>
  <si>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</si>
  <si>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</si>
  <si>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</si>
  <si>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</si>
  <si>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</si>
  <si>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</si>
  <si>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</si>
  <si>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</si>
  <si>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</si>
  <si>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</si>
  <si>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</si>
  <si>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</si>
  <si>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</si>
  <si>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</si>
  <si>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</si>
  <si>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</si>
  <si>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</si>
  <si>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</si>
  <si>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</si>
  <si>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</si>
  <si>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</si>
  <si>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</si>
  <si>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</si>
  <si>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</si>
  <si>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</si>
  <si>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</si>
  <si>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</si>
  <si>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</si>
  <si>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</si>
  <si>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</si>
  <si>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</si>
  <si>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</si>
  <si>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</si>
  <si>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</si>
  <si>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</si>
  <si>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</si>
  <si>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</si>
  <si>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</si>
  <si>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</si>
  <si>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</si>
  <si>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</si>
  <si>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</si>
  <si>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</si>
  <si>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</si>
  <si>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</si>
  <si>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</si>
  <si>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</si>
  <si>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</si>
  <si>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</si>
  <si>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</si>
  <si>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</si>
  <si>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</si>
  <si>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</si>
  <si>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</si>
  <si>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</si>
  <si>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</si>
  <si>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</si>
  <si>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</si>
  <si>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</si>
  <si>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</si>
  <si>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</si>
  <si>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</si>
  <si>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</si>
  <si>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</si>
  <si>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</si>
  <si>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</si>
  <si>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</si>
  <si>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</si>
  <si>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</si>
  <si>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</si>
  <si>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</si>
  <si>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</si>
  <si>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</si>
  <si>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</si>
  <si>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</si>
  <si>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</si>
  <si>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</si>
  <si>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</si>
  <si>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</si>
  <si>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</si>
  <si>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</si>
  <si>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</si>
  <si>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</si>
  <si>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</si>
  <si>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</si>
  <si>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</si>
  <si>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</si>
  <si>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</si>
  <si>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</si>
  <si>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</si>
  <si>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</si>
  <si>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</si>
  <si>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</si>
  <si>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</si>
  <si>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</si>
  <si>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</si>
  <si>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</si>
  <si>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</si>
  <si>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</si>
  <si>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</si>
  <si>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</si>
  <si>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</si>
  <si>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</si>
  <si>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</si>
  <si>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</si>
  <si>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</si>
  <si>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</si>
  <si>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</si>
  <si>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</si>
  <si>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</si>
  <si>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</si>
  <si>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</si>
  <si>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</si>
  <si>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</si>
  <si>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</si>
  <si>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</si>
  <si>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</si>
  <si>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</si>
  <si>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</si>
  <si>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</si>
  <si>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</si>
  <si>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</si>
  <si>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</si>
  <si>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</si>
  <si>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</si>
  <si>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</si>
  <si>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</si>
  <si>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</si>
  <si>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</si>
  <si>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</si>
  <si>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</si>
  <si>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</si>
  <si>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</si>
  <si>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</si>
  <si>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</si>
  <si>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</si>
  <si>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</si>
  <si>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</si>
  <si>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</si>
  <si>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</si>
  <si>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</si>
  <si>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</si>
  <si>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</si>
  <si>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</si>
  <si>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</si>
  <si>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</si>
  <si>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</si>
  <si>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</si>
  <si>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</si>
  <si>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</si>
  <si>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</si>
  <si>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</si>
  <si>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</si>
  <si>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</si>
  <si>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</si>
  <si>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</si>
  <si>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</si>
  <si>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</si>
  <si>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</si>
  <si>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</si>
  <si>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</si>
  <si>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</si>
  <si>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</si>
  <si>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</si>
  <si>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</si>
  <si>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</si>
  <si>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</si>
  <si>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</si>
  <si>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</si>
  <si>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</si>
  <si>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</si>
  <si>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</si>
  <si>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</si>
  <si>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</si>
  <si>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</si>
  <si>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</si>
  <si>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</si>
  <si>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</si>
  <si>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</si>
  <si>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</si>
  <si>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</si>
  <si>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</si>
  <si>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</si>
  <si>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</si>
  <si>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</si>
  <si>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</si>
  <si>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</si>
  <si>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</si>
  <si>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</si>
  <si>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</si>
  <si>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</si>
  <si>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</si>
  <si>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</si>
  <si>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</si>
  <si>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</si>
  <si>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</si>
  <si>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</si>
  <si>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</si>
  <si>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</si>
  <si>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</si>
  <si>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</si>
  <si>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</si>
  <si>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</si>
  <si>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</si>
  <si>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</si>
  <si>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</si>
  <si>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</si>
  <si>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</si>
  <si>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</si>
  <si>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</si>
  <si>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</si>
  <si>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</si>
  <si>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</si>
  <si>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</si>
  <si>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</si>
  <si>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</si>
  <si>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</si>
  <si>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</si>
  <si>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</si>
  <si>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</si>
  <si>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</si>
  <si>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</si>
  <si>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</si>
  <si>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</si>
  <si>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</si>
  <si>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</si>
  <si>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</si>
  <si>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</si>
  <si>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</si>
  <si>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</si>
  <si>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</si>
  <si>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</si>
  <si>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</si>
  <si>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</si>
  <si>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</si>
  <si>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</si>
  <si>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</si>
  <si>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</si>
  <si>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</si>
  <si>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</si>
  <si>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</si>
  <si>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</si>
  <si>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</si>
  <si>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</si>
  <si>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</si>
  <si>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</si>
  <si>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</si>
  <si>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</si>
  <si>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</si>
  <si>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</si>
  <si>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</si>
  <si>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</si>
  <si>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</si>
  <si>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</si>
  <si>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</si>
  <si>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</si>
  <si>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</si>
  <si>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</si>
  <si>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</si>
  <si>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</si>
  <si>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</si>
  <si>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</si>
  <si>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</si>
  <si>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</si>
  <si>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</si>
  <si>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</si>
  <si>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</si>
  <si>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</si>
  <si>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</si>
  <si>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</si>
  <si>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</si>
  <si>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</si>
  <si>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</si>
  <si>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</si>
  <si>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</si>
  <si>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</si>
  <si>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</si>
  <si>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</si>
  <si>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</si>
  <si>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</si>
  <si>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</si>
  <si>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</si>
  <si>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</si>
  <si>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</si>
  <si>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</si>
  <si>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</si>
  <si>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</si>
  <si>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</si>
  <si>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</si>
  <si>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</si>
  <si>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</si>
  <si>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</si>
  <si>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</si>
  <si>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</si>
  <si>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</si>
  <si>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</si>
  <si>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</si>
  <si>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</si>
  <si>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</si>
  <si>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</si>
  <si>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</si>
  <si>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</si>
  <si>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</si>
  <si>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</si>
  <si>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</si>
  <si>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</si>
  <si>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</si>
  <si>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</si>
  <si>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</si>
  <si>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</si>
  <si>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</si>
  <si>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</si>
  <si>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</si>
  <si>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</si>
  <si>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</si>
  <si>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</si>
  <si>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</si>
  <si>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</si>
  <si>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</si>
  <si>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</si>
  <si>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</si>
  <si>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</si>
  <si>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</si>
  <si>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</si>
  <si>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</si>
  <si>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</si>
  <si>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</si>
  <si>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</si>
  <si>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</si>
  <si>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</si>
  <si>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</si>
  <si>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</si>
  <si>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</si>
  <si>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</si>
  <si>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</si>
  <si>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</si>
  <si>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</si>
  <si>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</si>
  <si>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</si>
  <si>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</si>
  <si>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</si>
  <si>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</si>
  <si>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</si>
  <si>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</si>
  <si>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</si>
  <si>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</si>
  <si>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</si>
  <si>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</si>
  <si>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</si>
  <si>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</si>
  <si>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</si>
  <si>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</si>
  <si>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</si>
  <si>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</si>
  <si>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</si>
  <si>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</si>
  <si>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</si>
  <si>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</si>
  <si>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</si>
  <si>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</si>
  <si>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</si>
  <si>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</si>
  <si>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</si>
  <si>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</si>
  <si>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</si>
  <si>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</si>
  <si>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</si>
  <si>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</si>
  <si>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</si>
  <si>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</si>
  <si>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</si>
  <si>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</si>
  <si>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</si>
  <si>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</si>
  <si>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</si>
  <si>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</si>
  <si>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</si>
  <si>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</si>
  <si>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</si>
  <si>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</si>
  <si>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</si>
  <si>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</si>
  <si>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</si>
  <si>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</si>
  <si>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</si>
  <si>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</si>
  <si>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</si>
  <si>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</si>
  <si>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</si>
  <si>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</si>
  <si>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</si>
  <si>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</si>
  <si>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</si>
  <si>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</si>
  <si>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</si>
  <si>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</si>
  <si>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</si>
  <si>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</si>
  <si>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</si>
  <si>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</si>
  <si>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</si>
  <si>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</si>
  <si>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</si>
  <si>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</si>
  <si>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</si>
  <si>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</si>
  <si>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</si>
  <si>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</si>
  <si>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</si>
  <si>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</si>
  <si>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</si>
  <si>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</si>
  <si>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</si>
  <si>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</si>
  <si>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</si>
  <si>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</si>
  <si>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</si>
  <si>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</si>
  <si>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</si>
  <si>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</si>
  <si>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</si>
  <si>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</si>
  <si>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</si>
  <si>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</si>
  <si>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</si>
  <si>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</si>
  <si>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</si>
  <si>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</si>
  <si>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</si>
  <si>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</si>
  <si>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</si>
  <si>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</si>
  <si>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</si>
  <si>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</si>
  <si>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</si>
  <si>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</si>
  <si>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</si>
  <si>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</si>
  <si>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</si>
  <si>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</si>
  <si>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</si>
  <si>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</si>
  <si>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</si>
  <si>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</si>
  <si>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</si>
  <si>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</si>
  <si>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</si>
  <si>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</si>
  <si>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</si>
  <si>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</si>
  <si>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</si>
  <si>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</si>
  <si>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</si>
  <si>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</si>
  <si>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</si>
  <si>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</si>
  <si>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</si>
  <si>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</si>
  <si>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</si>
  <si>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</si>
  <si>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</si>
  <si>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</si>
  <si>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</si>
  <si>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</si>
  <si>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</si>
  <si>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</si>
  <si>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</si>
  <si>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</si>
  <si>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</si>
  <si>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</si>
  <si>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</si>
  <si>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</si>
  <si>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</si>
  <si>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</si>
  <si>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</si>
  <si>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</si>
  <si>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</si>
  <si>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</si>
  <si>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</si>
  <si>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</si>
  <si>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</si>
  <si>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</si>
  <si>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</si>
  <si>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</si>
  <si>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</si>
  <si>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</si>
  <si>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</si>
  <si>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</si>
  <si>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</si>
  <si>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</si>
  <si>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</si>
  <si>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</si>
  <si>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</si>
  <si>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</si>
  <si>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</si>
  <si>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</si>
  <si>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</si>
  <si>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</si>
  <si>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</si>
  <si>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</si>
  <si>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</si>
  <si>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</si>
  <si>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</si>
  <si>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</si>
  <si>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</si>
  <si>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</si>
  <si>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</si>
  <si>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</si>
  <si>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</si>
  <si>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</si>
  <si>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</si>
  <si>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</si>
  <si>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</si>
  <si>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</si>
  <si>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</si>
  <si>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</si>
  <si>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</si>
  <si>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</si>
  <si>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</si>
  <si>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</si>
  <si>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</si>
  <si>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</si>
  <si>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</si>
  <si>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</si>
  <si>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</si>
  <si>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</si>
  <si>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</si>
  <si>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</si>
  <si>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</si>
  <si>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</si>
  <si>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</si>
  <si>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</si>
  <si>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</si>
  <si>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</si>
  <si>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</si>
  <si>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</si>
  <si>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</si>
  <si>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</si>
  <si>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</si>
  <si>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</si>
  <si>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</si>
  <si>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</si>
  <si>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</si>
  <si>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</si>
  <si>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</si>
  <si>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</si>
  <si>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</si>
  <si>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</si>
  <si>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</si>
  <si>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</si>
  <si>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</si>
  <si>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</si>
  <si>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</si>
  <si>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</si>
  <si>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</si>
  <si>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</si>
  <si>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</si>
  <si>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</si>
  <si>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</si>
  <si>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</si>
  <si>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</si>
  <si>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</si>
  <si>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</si>
  <si>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</si>
  <si>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</si>
  <si>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</si>
  <si>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</si>
  <si>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</si>
  <si>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</si>
  <si>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</si>
  <si>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</si>
  <si>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</si>
  <si>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</si>
  <si>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</si>
  <si>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</si>
  <si>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</si>
  <si>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</si>
  <si>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</si>
  <si>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</si>
  <si>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</si>
  <si>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</si>
  <si>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</si>
  <si>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</si>
  <si>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</si>
  <si>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</si>
  <si>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</si>
  <si>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</si>
  <si>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</si>
  <si>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</si>
  <si>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</si>
  <si>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</si>
  <si>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</si>
  <si>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</si>
  <si>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</si>
  <si>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</si>
  <si>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</si>
  <si>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</si>
  <si>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</si>
  <si>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</si>
  <si>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</si>
  <si>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</si>
  <si>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</si>
  <si>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</si>
  <si>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</si>
  <si>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</si>
  <si>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</si>
  <si>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</si>
  <si>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</si>
  <si>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</si>
  <si>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</si>
  <si>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</si>
  <si>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</si>
  <si>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</si>
  <si>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</si>
  <si>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</si>
  <si>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</si>
  <si>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</si>
  <si>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</si>
  <si>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</si>
  <si>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</si>
  <si>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</si>
  <si>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</si>
  <si>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</si>
  <si>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</si>
  <si>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</si>
  <si>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</si>
  <si>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</si>
  <si>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</si>
  <si>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</si>
  <si>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</si>
  <si>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</si>
  <si>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</si>
  <si>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</si>
  <si>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</si>
  <si>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</si>
  <si>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</si>
  <si>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</si>
  <si>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</si>
  <si>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</si>
  <si>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</si>
  <si>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</si>
  <si>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</si>
  <si>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</si>
  <si>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</si>
  <si>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</si>
  <si>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</si>
  <si>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</si>
  <si>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</si>
  <si>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</si>
  <si>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</si>
  <si>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</si>
  <si>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</si>
  <si>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</si>
  <si>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</si>
  <si>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</si>
  <si>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</si>
  <si>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</si>
  <si>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</si>
  <si>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</si>
  <si>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</si>
  <si>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</si>
  <si>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</si>
  <si>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</si>
  <si>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</si>
  <si>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</si>
  <si>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</si>
  <si>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</si>
  <si>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</si>
  <si>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</si>
  <si>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</si>
  <si>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</si>
  <si>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</si>
  <si>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</si>
  <si>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</si>
  <si>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</si>
  <si>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</si>
  <si>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</si>
  <si>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</si>
  <si>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</si>
  <si>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</si>
  <si>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</si>
  <si>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</si>
  <si>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</si>
  <si>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</si>
  <si>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</si>
  <si>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</si>
  <si>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</si>
  <si>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</si>
  <si>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</si>
  <si>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</si>
  <si>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</si>
  <si>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</si>
  <si>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</si>
  <si>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</si>
  <si>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</si>
  <si>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</si>
  <si>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</si>
  <si>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</si>
  <si>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</si>
  <si>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</si>
  <si>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</si>
  <si>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</si>
  <si>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</si>
  <si>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</si>
  <si>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</si>
  <si>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</si>
  <si>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</si>
  <si>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</si>
  <si>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</si>
  <si>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</si>
  <si>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</si>
  <si>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</si>
  <si>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</si>
  <si>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</si>
  <si>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</si>
  <si>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</si>
  <si>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</si>
  <si>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</si>
  <si>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</si>
  <si>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</si>
  <si>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</si>
  <si>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</si>
  <si>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</si>
  <si>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</si>
  <si>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</si>
  <si>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</si>
  <si>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</si>
  <si>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</si>
  <si>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</si>
  <si>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</si>
  <si>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</si>
  <si>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</si>
  <si>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</si>
  <si>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</si>
  <si>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</si>
  <si>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</si>
  <si>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</si>
  <si>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</si>
  <si>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</si>
  <si>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</si>
  <si>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</si>
  <si>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</si>
  <si>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</si>
  <si>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</si>
  <si>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</si>
  <si>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</si>
  <si>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</si>
  <si>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</si>
  <si>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</si>
  <si>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</si>
  <si>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</si>
  <si>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</si>
  <si>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</si>
  <si>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</si>
  <si>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</si>
  <si>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</si>
  <si>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</si>
  <si>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</si>
  <si>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</si>
  <si>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</si>
  <si>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</si>
  <si>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</si>
  <si>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</si>
  <si>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</si>
  <si>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</si>
  <si>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</si>
  <si>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</si>
  <si>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</si>
  <si>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</si>
  <si>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</si>
  <si>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</si>
  <si>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</si>
  <si>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</si>
  <si>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</si>
  <si>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</si>
  <si>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</si>
  <si>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</si>
  <si>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</si>
  <si>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</si>
  <si>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</si>
  <si>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</si>
  <si>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</si>
  <si>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</si>
  <si>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</si>
  <si>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</si>
  <si>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</si>
  <si>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</si>
  <si>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</si>
  <si>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</si>
  <si>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</si>
  <si>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</si>
  <si>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</si>
  <si>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</si>
  <si>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</si>
  <si>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</si>
  <si>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</si>
  <si>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</si>
  <si>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</si>
  <si>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</si>
  <si>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</si>
  <si>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</si>
  <si>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</si>
  <si>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</si>
  <si>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</si>
  <si>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</si>
  <si>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</si>
  <si>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</si>
  <si>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</si>
  <si>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</si>
  <si>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</si>
  <si>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</si>
  <si>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</si>
  <si>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</si>
  <si>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</si>
  <si>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</si>
  <si>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</si>
  <si>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</si>
  <si>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</si>
  <si>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</si>
  <si>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</si>
  <si>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</si>
  <si>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</si>
  <si>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</si>
  <si>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</si>
  <si>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</si>
  <si>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</si>
  <si>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</si>
  <si>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</si>
  <si>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</si>
  <si>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</si>
  <si>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</si>
  <si>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</si>
  <si>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</si>
  <si>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</si>
  <si>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</si>
  <si>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</si>
  <si>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</si>
  <si>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</si>
  <si>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</si>
  <si>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</si>
  <si>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</si>
  <si>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</si>
  <si>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</si>
  <si>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</si>
  <si>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</si>
  <si>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</si>
  <si>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</si>
  <si>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</si>
  <si>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</si>
  <si>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</si>
  <si>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</si>
  <si>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</si>
  <si>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</si>
  <si>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</si>
  <si>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</si>
  <si>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</si>
  <si>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</si>
  <si>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</si>
  <si>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</si>
  <si>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</si>
  <si>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</si>
  <si>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</si>
  <si>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</si>
  <si>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</si>
  <si>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</si>
  <si>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</si>
  <si>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</si>
  <si>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</si>
  <si>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</si>
  <si>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</si>
  <si>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</si>
  <si>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</si>
  <si>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</si>
  <si>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</si>
  <si>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</si>
  <si>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</si>
  <si>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</si>
  <si>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</si>
  <si>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</si>
  <si>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</si>
  <si>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</si>
  <si>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</si>
  <si>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</si>
  <si>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</si>
  <si>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</si>
  <si>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</si>
  <si>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</si>
  <si>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</si>
  <si>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</si>
  <si>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</si>
  <si>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</si>
  <si>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</si>
  <si>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</si>
  <si>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</si>
  <si>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</si>
  <si>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</si>
  <si>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</si>
  <si>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</si>
  <si>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</si>
  <si>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</si>
  <si>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</si>
  <si>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</si>
  <si>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</si>
  <si>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</si>
  <si>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</si>
  <si>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</si>
  <si>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</si>
  <si>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</si>
  <si>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</si>
  <si>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</si>
  <si>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</si>
  <si>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</si>
  <si>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</si>
  <si>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</si>
  <si>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</si>
  <si>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</si>
  <si>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</si>
  <si>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</si>
  <si>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</si>
  <si>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</si>
  <si>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</si>
  <si>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</si>
  <si>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</si>
  <si>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</si>
  <si>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</si>
  <si>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</si>
  <si>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</si>
  <si>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</si>
  <si>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</si>
  <si>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</si>
  <si>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</si>
  <si>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</si>
  <si>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</si>
  <si>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</si>
  <si>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</si>
  <si>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</si>
  <si>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</si>
  <si>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</si>
  <si>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</si>
  <si>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</si>
  <si>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</si>
  <si>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</si>
  <si>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</si>
  <si>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</si>
  <si>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</si>
  <si>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</si>
  <si>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</si>
  <si>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</si>
  <si>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</si>
  <si>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</si>
  <si>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</si>
  <si>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</si>
  <si>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</si>
  <si>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</si>
  <si>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</si>
  <si>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</si>
  <si>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</si>
  <si>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</si>
  <si>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</si>
  <si>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</si>
  <si>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</si>
  <si>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</si>
  <si>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</si>
  <si>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</si>
  <si>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</si>
  <si>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</si>
  <si>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</si>
  <si>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</si>
  <si>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</si>
  <si>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</si>
  <si>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</si>
  <si>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</si>
  <si>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</si>
  <si>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</si>
  <si>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</si>
  <si>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</si>
  <si>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</si>
  <si>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</si>
  <si>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</si>
  <si>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</si>
  <si>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</si>
  <si>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</si>
  <si>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</si>
  <si>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</si>
  <si>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</si>
  <si>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</si>
  <si>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</si>
  <si>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</si>
  <si>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</si>
  <si>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</si>
  <si>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</si>
  <si>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</si>
  <si>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</si>
  <si>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</si>
  <si>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</si>
  <si>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</si>
  <si>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</si>
  <si>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</si>
  <si>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</si>
  <si>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</si>
  <si>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</si>
  <si>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</si>
  <si>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</si>
  <si>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</si>
  <si>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</si>
  <si>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</si>
  <si>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</si>
  <si>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</si>
  <si>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</si>
  <si>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</si>
  <si>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</si>
  <si>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</si>
  <si>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</si>
  <si>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</si>
  <si>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</si>
  <si>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</si>
  <si>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</si>
  <si>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</si>
  <si>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</si>
  <si>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</si>
  <si>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</si>
  <si>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</si>
  <si>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</si>
  <si>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</si>
  <si>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</si>
  <si>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</si>
  <si>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</si>
  <si>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</si>
  <si>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</si>
  <si>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</si>
  <si>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</si>
  <si>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</si>
  <si>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</si>
  <si>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</si>
  <si>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</si>
  <si>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</si>
  <si>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</si>
  <si>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</si>
  <si>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</si>
  <si>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</si>
  <si>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</si>
  <si>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</si>
  <si>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</si>
  <si>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</si>
  <si>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</si>
  <si>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</si>
  <si>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</si>
  <si>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</si>
  <si>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</si>
  <si>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</si>
  <si>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</si>
  <si>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</si>
  <si>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</si>
  <si>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</si>
  <si>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</si>
  <si>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</si>
  <si>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</si>
  <si>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</si>
  <si>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</si>
  <si>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</si>
  <si>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</si>
  <si>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</si>
  <si>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</si>
  <si>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</si>
  <si>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</si>
  <si>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</si>
  <si>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</si>
  <si>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</si>
  <si>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</si>
  <si>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</si>
  <si>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</si>
  <si>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</si>
  <si>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</si>
  <si>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</si>
  <si>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</si>
  <si>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</si>
  <si>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</si>
  <si>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</si>
  <si>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</si>
  <si>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</si>
  <si>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</si>
  <si>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</si>
  <si>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</si>
  <si>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</si>
  <si>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</si>
  <si>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</si>
  <si>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</si>
  <si>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</si>
  <si>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</si>
  <si>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</si>
  <si>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</si>
  <si>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</si>
  <si>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</si>
  <si>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</si>
  <si>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</si>
  <si>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</si>
  <si>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</si>
  <si>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</si>
  <si>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</si>
  <si>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</si>
  <si>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</si>
  <si>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</si>
  <si>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</si>
  <si>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</si>
  <si>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</si>
  <si>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</si>
  <si>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</si>
  <si>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</si>
  <si>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</si>
  <si>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</si>
  <si>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</si>
  <si>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</si>
  <si>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</si>
  <si>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</si>
  <si>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</si>
  <si>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</si>
  <si>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</si>
  <si>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</si>
  <si>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</si>
  <si>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</si>
  <si>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</si>
  <si>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</si>
  <si>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</si>
  <si>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</si>
  <si>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</si>
  <si>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</si>
  <si>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</si>
  <si>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</si>
  <si>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</si>
  <si>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</si>
  <si>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</si>
  <si>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</si>
  <si>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</si>
  <si>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</si>
  <si>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</si>
  <si>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</si>
  <si>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</si>
  <si>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</si>
  <si>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</si>
  <si>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</si>
  <si>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</si>
  <si>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</si>
  <si>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</si>
  <si>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</si>
  <si>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</si>
  <si>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</si>
  <si>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</si>
  <si>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</si>
  <si>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</si>
  <si>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</si>
  <si>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</si>
  <si>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</si>
  <si>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</si>
  <si>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</si>
  <si>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</si>
  <si>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</si>
  <si>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</si>
  <si>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</si>
  <si>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</si>
  <si>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</si>
  <si>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</si>
  <si>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</si>
  <si>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</si>
  <si>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</si>
  <si>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</si>
  <si>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</si>
  <si>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</si>
  <si>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</si>
  <si>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</si>
  <si>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</si>
  <si>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</si>
  <si>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</si>
  <si>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</si>
  <si>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</si>
  <si>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</si>
  <si>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</si>
  <si>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</si>
  <si>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</si>
  <si>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</si>
  <si>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</si>
  <si>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</si>
  <si>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</si>
  <si>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</si>
  <si>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</si>
  <si>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</si>
  <si>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</si>
  <si>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</si>
  <si>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</si>
  <si>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</si>
  <si>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</si>
  <si>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</si>
  <si>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</si>
  <si>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</si>
  <si>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</si>
  <si>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</si>
  <si>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</si>
  <si>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</si>
  <si>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</si>
  <si>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</si>
  <si>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</si>
  <si>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</si>
  <si>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</si>
  <si>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</si>
  <si>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</si>
  <si>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</si>
  <si>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</si>
  <si>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</si>
  <si>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</si>
  <si>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</si>
  <si>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</si>
  <si>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</si>
  <si>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</si>
  <si>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</si>
  <si>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</si>
  <si>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</si>
  <si>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</si>
  <si>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</si>
  <si>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</si>
  <si>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</si>
  <si>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</si>
  <si>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</si>
  <si>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</si>
  <si>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</si>
  <si>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</si>
  <si>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</si>
  <si>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</si>
  <si>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</si>
  <si>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</si>
  <si>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</si>
  <si>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</si>
  <si>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</si>
  <si>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</si>
  <si>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</si>
  <si>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</si>
  <si>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</si>
  <si>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</si>
  <si>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</si>
  <si>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</si>
  <si>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</si>
  <si>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</si>
  <si>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</si>
  <si>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</si>
  <si>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</si>
  <si>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</si>
  <si>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</si>
  <si>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</si>
  <si>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</si>
  <si>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</si>
  <si>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</si>
  <si>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</si>
  <si>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</si>
  <si>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</si>
  <si>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</si>
  <si>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</si>
  <si>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</si>
  <si>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</si>
  <si>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</si>
  <si>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</si>
  <si>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</si>
  <si>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</si>
  <si>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</si>
  <si>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</si>
  <si>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</si>
  <si>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</si>
  <si>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</si>
  <si>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</si>
  <si>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</si>
  <si>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</si>
  <si>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</si>
  <si>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</si>
  <si>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</si>
  <si>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</si>
  <si>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</si>
  <si>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</si>
  <si>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</si>
  <si>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</si>
  <si>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</si>
  <si>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</si>
  <si>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</si>
  <si>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</si>
  <si>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</si>
  <si>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</si>
  <si>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</si>
  <si>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</si>
  <si>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</si>
  <si>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</si>
  <si>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</si>
  <si>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</si>
  <si>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</si>
  <si>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</si>
  <si>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</si>
  <si>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</si>
  <si>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</si>
  <si>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</si>
  <si>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</si>
  <si>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</si>
  <si>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</si>
  <si>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</si>
  <si>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</si>
  <si>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</si>
  <si>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</si>
  <si>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</si>
  <si>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</si>
  <si>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</si>
  <si>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</si>
  <si>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</si>
  <si>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</si>
  <si>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</si>
  <si>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</si>
  <si>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</si>
  <si>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</si>
  <si>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</si>
  <si>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</si>
  <si>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</si>
  <si>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</si>
  <si>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</si>
  <si>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</si>
  <si>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</si>
  <si>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</si>
  <si>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</si>
  <si>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</si>
  <si>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</si>
  <si>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</si>
  <si>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</si>
  <si>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</si>
  <si>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</si>
  <si>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</si>
  <si>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</si>
  <si>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</si>
  <si>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</si>
  <si>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</si>
  <si>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</si>
  <si>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</si>
  <si>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</si>
  <si>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</si>
  <si>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</si>
  <si>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</si>
  <si>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</si>
  <si>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</si>
  <si>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</si>
  <si>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</si>
  <si>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</si>
  <si>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</si>
  <si>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</si>
  <si>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</si>
  <si>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</si>
  <si>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</si>
  <si>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</si>
  <si>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</si>
  <si>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</si>
  <si>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</si>
  <si>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</si>
  <si>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</si>
  <si>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</si>
  <si>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</si>
  <si>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</si>
  <si>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</si>
  <si>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</si>
  <si>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</si>
  <si>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</si>
  <si>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</si>
  <si>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</si>
  <si>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</si>
  <si>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</si>
  <si>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</si>
  <si>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</si>
  <si>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</si>
  <si>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</si>
  <si>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</si>
  <si>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</si>
  <si>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</si>
  <si>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</si>
  <si>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</si>
  <si>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</si>
  <si>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</si>
  <si>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</si>
  <si>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</si>
  <si>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</si>
  <si>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</si>
  <si>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</si>
  <si>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</si>
  <si>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</si>
  <si>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</si>
  <si>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</si>
  <si>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</si>
  <si>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</si>
  <si>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</si>
  <si>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</si>
  <si>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</si>
  <si>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</si>
  <si>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</si>
  <si>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</si>
  <si>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</si>
  <si>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</si>
  <si>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</si>
  <si>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</si>
  <si>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</si>
  <si>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</si>
  <si>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</si>
  <si>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</si>
  <si>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</si>
  <si>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</si>
  <si>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</si>
  <si>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</si>
  <si>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</si>
  <si>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</si>
  <si>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</si>
  <si>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</si>
  <si>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</si>
  <si>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</si>
  <si>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</si>
  <si>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</si>
  <si>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</si>
  <si>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</si>
  <si>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</si>
  <si>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</si>
  <si>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</si>
  <si>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</si>
  <si>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</si>
  <si>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</si>
  <si>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</si>
  <si>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</si>
  <si>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</si>
  <si>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</si>
  <si>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</si>
  <si>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</si>
  <si>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</si>
  <si>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</si>
  <si>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</si>
  <si>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</si>
  <si>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</si>
  <si>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</si>
  <si>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</si>
  <si>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</si>
  <si>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</si>
  <si>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</si>
  <si>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</si>
  <si>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</si>
  <si>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</si>
  <si>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</si>
  <si>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</si>
  <si>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</si>
  <si>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</si>
  <si>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</si>
  <si>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</si>
  <si>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</si>
  <si>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</si>
  <si>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</si>
  <si>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</si>
  <si>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</si>
  <si>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</si>
  <si>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</si>
  <si>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</si>
  <si>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</si>
  <si>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</si>
  <si>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</si>
  <si>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</si>
  <si>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</si>
  <si>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</si>
  <si>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</si>
  <si>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</si>
  <si>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</si>
  <si>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</si>
  <si>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</si>
  <si>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</si>
  <si>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</si>
  <si>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</si>
  <si>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</si>
  <si>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</si>
  <si>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</si>
  <si>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</si>
  <si>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</si>
  <si>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</si>
  <si>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</si>
  <si>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</si>
  <si>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</si>
  <si>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</si>
  <si>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</si>
  <si>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</si>
  <si>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</si>
  <si>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</si>
  <si>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</si>
  <si>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</si>
  <si>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</si>
  <si>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</si>
  <si>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</si>
  <si>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</si>
  <si>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</si>
  <si>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</si>
  <si>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</si>
  <si>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</si>
  <si>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</si>
  <si>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</si>
  <si>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</si>
  <si>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</si>
  <si>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</si>
  <si>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</si>
  <si>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</si>
  <si>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</si>
  <si>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</si>
  <si>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</si>
  <si>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</si>
  <si>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</si>
  <si>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</si>
  <si>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</si>
  <si>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</si>
  <si>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</si>
  <si>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</si>
  <si>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</si>
  <si>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</si>
  <si>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</si>
  <si>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</si>
  <si>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</si>
  <si>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</si>
  <si>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</si>
  <si>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</si>
  <si>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</si>
  <si>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</si>
  <si>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</si>
  <si>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</si>
  <si>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</si>
  <si>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</si>
  <si>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</si>
  <si>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</si>
  <si>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</si>
  <si>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</si>
  <si>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</si>
  <si>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</si>
  <si>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</si>
  <si>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</si>
  <si>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</si>
  <si>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</si>
  <si>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</si>
  <si>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</si>
  <si>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</si>
  <si>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</si>
  <si>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</si>
  <si>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</si>
  <si>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</si>
  <si>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</si>
  <si>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</si>
  <si>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</si>
  <si>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</si>
  <si>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</si>
  <si>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</si>
  <si>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</si>
  <si>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</si>
  <si>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</si>
  <si>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</si>
  <si>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</si>
  <si>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</si>
  <si>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</si>
  <si>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</si>
  <si>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</si>
  <si>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</si>
  <si>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</si>
  <si>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</si>
  <si>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</si>
  <si>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</si>
  <si>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</si>
  <si>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</si>
  <si>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</si>
  <si>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</si>
  <si>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</si>
  <si>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</si>
  <si>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</si>
  <si>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</si>
  <si>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</si>
  <si>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</si>
  <si>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</si>
  <si>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</si>
  <si>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</si>
  <si>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</si>
  <si>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</si>
  <si>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</si>
  <si>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</si>
  <si>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</si>
  <si>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</si>
  <si>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</si>
  <si>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</si>
  <si>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</si>
  <si>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</si>
  <si>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</si>
  <si>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</si>
  <si>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</si>
  <si>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</si>
  <si>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</si>
  <si>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</si>
  <si>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</si>
  <si>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</si>
  <si>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</si>
  <si>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</si>
  <si>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</si>
  <si>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</si>
  <si>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</si>
  <si>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</si>
  <si>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</si>
  <si>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</si>
  <si>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</si>
  <si>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</si>
  <si>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</si>
  <si>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</si>
  <si>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</si>
  <si>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</si>
  <si>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</si>
  <si>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</si>
  <si>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</si>
  <si>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</si>
  <si>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</si>
  <si>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</si>
  <si>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</si>
  <si>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</si>
  <si>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</si>
  <si>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</si>
  <si>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</si>
  <si>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</si>
  <si>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</si>
  <si>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</si>
  <si>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</si>
  <si>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</si>
  <si>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</si>
  <si>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</si>
  <si>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</si>
  <si>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</si>
  <si>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</si>
  <si>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</si>
  <si>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</si>
  <si>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</si>
  <si>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</si>
  <si>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</si>
  <si>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</si>
  <si>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</si>
  <si>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</si>
  <si>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</si>
  <si>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</si>
  <si>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</si>
  <si>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</si>
  <si>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</si>
  <si>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</si>
  <si>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</si>
  <si>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</si>
  <si>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</si>
  <si>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</si>
  <si>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</si>
  <si>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</si>
  <si>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</si>
  <si>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</si>
  <si>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</si>
  <si>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</si>
  <si>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</si>
  <si>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</si>
  <si>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</si>
  <si>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</si>
  <si>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</si>
  <si>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</si>
  <si>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</si>
  <si>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</si>
  <si>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</si>
  <si>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</si>
  <si>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</si>
  <si>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</si>
  <si>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</si>
  <si>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</si>
  <si>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</si>
  <si>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</si>
  <si>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</si>
  <si>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</si>
  <si>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</si>
  <si>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</si>
  <si>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</si>
  <si>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</si>
  <si>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</si>
  <si>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</si>
  <si>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</si>
  <si>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</si>
  <si>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</si>
  <si>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</si>
  <si>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</si>
  <si>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</si>
  <si>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</si>
  <si>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</si>
  <si>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</si>
  <si>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</si>
  <si>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</si>
  <si>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</si>
  <si>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</si>
  <si>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</si>
  <si>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</si>
  <si>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</si>
  <si>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</si>
  <si>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</si>
  <si>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</si>
  <si>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</si>
  <si>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</si>
  <si>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</si>
  <si>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</si>
  <si>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</si>
  <si>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</si>
  <si>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</si>
  <si>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</si>
  <si>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</si>
  <si>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</si>
  <si>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</si>
  <si>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</si>
  <si>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</si>
  <si>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</si>
  <si>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</si>
  <si>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</si>
  <si>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</si>
  <si>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</si>
  <si>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</si>
  <si>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</si>
  <si>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</si>
  <si>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</si>
  <si>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</si>
  <si>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</si>
  <si>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</si>
  <si>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</si>
  <si>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</si>
  <si>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</si>
  <si>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</si>
  <si>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</si>
  <si>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</si>
  <si>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</si>
  <si>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</si>
  <si>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</si>
  <si>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</si>
  <si>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</si>
  <si>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</si>
  <si>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</si>
  <si>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</si>
  <si>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</si>
  <si>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</si>
  <si>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</si>
  <si>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</si>
  <si>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</si>
  <si>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</si>
  <si>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</si>
  <si>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</si>
  <si>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</si>
  <si>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</si>
  <si>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</si>
  <si>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</si>
  <si>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</si>
  <si>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</si>
  <si>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</si>
  <si>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</si>
  <si>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</si>
  <si>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</si>
  <si>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</si>
  <si>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</si>
  <si>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</si>
  <si>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</si>
  <si>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</si>
  <si>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</si>
  <si>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</si>
  <si>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</si>
  <si>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</si>
  <si>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</si>
  <si>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</si>
  <si>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</si>
  <si>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</si>
  <si>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</si>
  <si>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</si>
  <si>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</si>
  <si>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</si>
  <si>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</si>
  <si>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</si>
  <si>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</si>
  <si>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</si>
  <si>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</si>
  <si>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</si>
  <si>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</si>
  <si>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</si>
  <si>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</si>
  <si>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</si>
  <si>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</si>
  <si>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</si>
  <si>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</si>
  <si>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</si>
  <si>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</si>
  <si>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</si>
  <si>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</si>
  <si>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</si>
  <si>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</si>
  <si>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</si>
  <si>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</si>
  <si>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</si>
  <si>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</si>
  <si>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</si>
  <si>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</si>
  <si>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</si>
  <si>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</si>
  <si>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</si>
  <si>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</si>
  <si>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</si>
  <si>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</si>
  <si>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</si>
  <si>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</si>
  <si>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</si>
  <si>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</si>
  <si>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</si>
  <si>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</si>
  <si>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</si>
  <si>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</si>
  <si>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</si>
  <si>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</si>
  <si>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</si>
  <si>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</si>
  <si>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</si>
  <si>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</si>
  <si>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</si>
  <si>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</si>
  <si>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</si>
  <si>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</si>
  <si>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</si>
  <si>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</si>
  <si>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</si>
  <si>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</si>
  <si>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</si>
  <si>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</si>
  <si>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</si>
  <si>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</si>
  <si>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</si>
  <si>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</si>
  <si>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</si>
  <si>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</si>
  <si>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</si>
  <si>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</si>
  <si>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</si>
  <si>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</si>
  <si>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</si>
  <si>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</si>
  <si>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</si>
  <si>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</si>
  <si>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</si>
  <si>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</si>
  <si>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</si>
  <si>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</si>
  <si>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</si>
  <si>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</si>
  <si>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</si>
  <si>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</si>
  <si>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</si>
  <si>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</si>
  <si>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</si>
  <si>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</si>
  <si>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</si>
  <si>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</si>
  <si>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</si>
  <si>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</si>
  <si>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</si>
  <si>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</si>
  <si>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</si>
  <si>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</si>
  <si>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</si>
  <si>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</si>
  <si>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</si>
  <si>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</si>
  <si>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</si>
  <si>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</si>
  <si>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</si>
  <si>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</si>
  <si>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</si>
  <si>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</si>
  <si>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</si>
  <si>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</si>
  <si>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</si>
  <si>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</si>
  <si>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</si>
  <si>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</si>
  <si>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</si>
  <si>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</si>
  <si>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</si>
  <si>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</si>
  <si>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</si>
  <si>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</si>
  <si>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</si>
  <si>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</si>
  <si>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</si>
  <si>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</si>
  <si>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</si>
  <si>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</si>
  <si>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</si>
  <si>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</si>
  <si>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</si>
  <si>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</si>
  <si>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</si>
  <si>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</si>
  <si>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</si>
  <si>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</si>
  <si>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</si>
  <si>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</si>
  <si>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</si>
  <si>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</si>
  <si>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</si>
  <si>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</si>
  <si>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</si>
  <si>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</si>
  <si>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</si>
  <si>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</si>
  <si>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</si>
  <si>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</si>
  <si>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</si>
  <si>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</si>
  <si>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</si>
  <si>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</si>
  <si>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</si>
  <si>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</si>
  <si>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</si>
  <si>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</si>
  <si>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</si>
  <si>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</si>
  <si>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</si>
  <si>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</si>
  <si>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</si>
  <si>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</si>
  <si>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</si>
  <si>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</si>
  <si>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</si>
  <si>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</si>
  <si>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</si>
  <si>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</si>
  <si>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</si>
  <si>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</si>
  <si>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</si>
  <si>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</si>
  <si>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</si>
  <si>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</si>
  <si>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</si>
  <si>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</si>
  <si>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</si>
  <si>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</si>
  <si>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</si>
  <si>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</si>
  <si>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</si>
  <si>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</si>
  <si>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</si>
  <si>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</si>
  <si>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</si>
  <si>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</si>
  <si>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</si>
  <si>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</si>
  <si>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</si>
  <si>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</si>
  <si>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</si>
  <si>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</si>
  <si>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</si>
  <si>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</si>
  <si>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</si>
  <si>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</si>
  <si>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</si>
  <si>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</si>
  <si>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</si>
  <si>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</si>
  <si>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</si>
  <si>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</si>
  <si>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</si>
  <si>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</si>
  <si>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</si>
  <si>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</si>
  <si>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</si>
  <si>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</si>
  <si>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</si>
  <si>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</si>
  <si>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</si>
  <si>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</si>
  <si>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</si>
  <si>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</si>
  <si>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</si>
  <si>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</si>
  <si>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</si>
  <si>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</si>
  <si>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</si>
  <si>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</si>
  <si>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</si>
  <si>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</si>
  <si>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</si>
  <si>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</si>
  <si>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</si>
  <si>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</si>
  <si>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</si>
  <si>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</si>
  <si>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</si>
  <si>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</si>
  <si>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</si>
  <si>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</si>
  <si>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</si>
  <si>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</si>
  <si>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</si>
  <si>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</si>
  <si>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</si>
  <si>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</si>
  <si>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</si>
  <si>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</si>
  <si>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</si>
  <si>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</si>
  <si>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</si>
  <si>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</si>
  <si>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</si>
  <si>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</si>
  <si>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</si>
  <si>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</si>
  <si>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</si>
  <si>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</si>
  <si>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</si>
  <si>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</si>
  <si>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</si>
  <si>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</si>
  <si>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</si>
  <si>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</si>
  <si>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</si>
  <si>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</si>
  <si>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</si>
  <si>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</si>
  <si>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</si>
  <si>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</si>
  <si>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</si>
  <si>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</si>
  <si>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</si>
  <si>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</si>
  <si>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</si>
  <si>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</si>
  <si>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</si>
  <si>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</si>
  <si>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</si>
  <si>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</si>
  <si>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</si>
  <si>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</si>
  <si>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</si>
  <si>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</si>
  <si>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</si>
  <si>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</si>
  <si>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</si>
  <si>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</si>
  <si>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</si>
  <si>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</si>
  <si>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</si>
  <si>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</si>
  <si>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</si>
  <si>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</si>
  <si>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</si>
  <si>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</si>
  <si>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</si>
  <si>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</si>
  <si>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</si>
  <si>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</si>
  <si>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</si>
  <si>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</si>
  <si>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</si>
  <si>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</si>
  <si>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</si>
  <si>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</si>
  <si>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</si>
  <si>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</si>
  <si>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</si>
  <si>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</si>
  <si>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</si>
  <si>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</si>
  <si>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</si>
  <si>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</si>
  <si>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</si>
  <si>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</si>
  <si>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</si>
  <si>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</si>
  <si>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</si>
  <si>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</si>
  <si>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</si>
  <si>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</si>
  <si>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</si>
  <si>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</si>
  <si>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</si>
  <si>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</si>
  <si>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</si>
  <si>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</si>
  <si>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</si>
  <si>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</si>
  <si>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</si>
  <si>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</si>
  <si>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</si>
  <si>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</si>
  <si>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</si>
  <si>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</si>
  <si>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</si>
  <si>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</si>
  <si>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</si>
  <si>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</si>
  <si>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</si>
  <si>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</si>
  <si>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</si>
  <si>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</si>
  <si>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</si>
  <si>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</si>
  <si>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</si>
  <si>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</si>
  <si>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</si>
  <si>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</si>
  <si>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</si>
  <si>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</si>
  <si>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</si>
  <si>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</si>
  <si>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</si>
  <si>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</si>
  <si>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</si>
  <si>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</si>
  <si>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</si>
  <si>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</si>
  <si>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</si>
  <si>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</si>
  <si>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</si>
  <si>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</si>
  <si>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</si>
  <si>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</si>
  <si>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</si>
  <si>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</si>
  <si>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</si>
  <si>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</si>
  <si>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</si>
  <si>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</si>
  <si>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</si>
  <si>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</si>
  <si>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</si>
  <si>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</si>
  <si>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</si>
  <si>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</si>
  <si>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</si>
  <si>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</si>
  <si>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</si>
  <si>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</si>
  <si>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</si>
  <si>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</si>
  <si>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</si>
  <si>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</si>
  <si>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</si>
  <si>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</si>
  <si>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</si>
  <si>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</si>
  <si>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</si>
  <si>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</si>
  <si>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</si>
  <si>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</si>
  <si>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</si>
  <si>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</si>
  <si>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</si>
  <si>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</si>
  <si>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</si>
  <si>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</si>
  <si>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</si>
  <si>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</si>
  <si>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</si>
  <si>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</si>
  <si>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</si>
  <si>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</si>
  <si>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</si>
  <si>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</si>
  <si>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</si>
  <si>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</si>
  <si>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</si>
  <si>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</si>
  <si>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</si>
  <si>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</si>
  <si>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</si>
  <si>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</si>
  <si>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</si>
  <si>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</si>
  <si>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</si>
  <si>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</si>
  <si>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</si>
  <si>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</si>
  <si>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</si>
  <si>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</si>
  <si>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</si>
  <si>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</si>
  <si>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</si>
  <si>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</si>
  <si>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</si>
  <si>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</si>
  <si>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</si>
  <si>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</si>
  <si>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</si>
  <si>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</si>
  <si>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</si>
  <si>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</si>
  <si>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</si>
  <si>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</si>
  <si>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</si>
  <si>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</si>
  <si>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</si>
  <si>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</si>
  <si>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</si>
  <si>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</si>
  <si>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</si>
  <si>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</si>
  <si>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</si>
  <si>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</si>
  <si>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</si>
  <si>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</si>
  <si>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</si>
  <si>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</si>
  <si>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</si>
  <si>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</si>
  <si>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</si>
  <si>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</si>
  <si>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</si>
  <si>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</si>
  <si>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</si>
  <si>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</si>
  <si>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</si>
  <si>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</si>
  <si>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</si>
  <si>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</si>
  <si>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</si>
  <si>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</si>
  <si>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</si>
  <si>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</si>
  <si>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</si>
  <si>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</si>
  <si>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</si>
  <si>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</si>
  <si>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</si>
  <si>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</si>
  <si>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</si>
  <si>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</si>
  <si>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</si>
  <si>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</si>
  <si>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</si>
  <si>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</si>
  <si>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</si>
  <si>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</si>
  <si>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</si>
  <si>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</si>
  <si>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</si>
  <si>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</si>
  <si>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</si>
  <si>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</si>
  <si>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</si>
  <si>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</si>
  <si>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</si>
  <si>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</si>
  <si>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</si>
  <si>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</si>
  <si>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</si>
  <si>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</si>
  <si>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</si>
  <si>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</si>
  <si>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</si>
  <si>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</si>
  <si>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</si>
  <si>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</si>
  <si>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</si>
  <si>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</si>
  <si>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</si>
  <si>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</si>
  <si>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</si>
  <si>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</si>
  <si>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</si>
  <si>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</si>
  <si>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</si>
  <si>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</si>
  <si>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</si>
  <si>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</si>
  <si>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</si>
  <si>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</si>
  <si>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</si>
  <si>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</si>
  <si>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</si>
  <si>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</si>
  <si>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</si>
  <si>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</si>
  <si>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</si>
  <si>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</si>
  <si>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</si>
  <si>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</si>
  <si>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</si>
  <si>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</si>
  <si>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</si>
  <si>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</si>
  <si>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</si>
  <si>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</si>
  <si>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</si>
  <si>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</si>
  <si>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</si>
  <si>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</si>
  <si>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</si>
  <si>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</si>
  <si>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</si>
  <si>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</si>
  <si>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</si>
  <si>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</si>
  <si>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</si>
  <si>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</si>
  <si>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</si>
  <si>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</si>
  <si>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</si>
  <si>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</si>
  <si>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</si>
  <si>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</si>
  <si>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</si>
  <si>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</si>
  <si>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</si>
  <si>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</si>
  <si>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</si>
  <si>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</si>
  <si>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</si>
  <si>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</si>
  <si>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</si>
  <si>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</si>
  <si>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</si>
  <si>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</si>
  <si>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</si>
  <si>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</si>
  <si>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</si>
  <si>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</si>
  <si>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</si>
  <si>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</si>
  <si>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</si>
  <si>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</si>
  <si>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</si>
  <si>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</si>
  <si>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</si>
  <si>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</si>
  <si>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</si>
  <si>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</si>
  <si>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</si>
  <si>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</si>
  <si>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</si>
  <si>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</si>
  <si>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</si>
  <si>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</si>
  <si>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</si>
  <si>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</si>
  <si>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</si>
  <si>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</si>
  <si>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</si>
  <si>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</si>
  <si>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</si>
  <si>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</si>
  <si>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</si>
  <si>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</si>
  <si>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</si>
  <si>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</si>
  <si>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</si>
  <si>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</si>
  <si>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</si>
  <si>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</si>
  <si>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</si>
  <si>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</si>
  <si>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</si>
  <si>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</si>
  <si>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</si>
  <si>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</si>
  <si>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</si>
  <si>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</si>
  <si>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</si>
  <si>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</si>
  <si>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</si>
  <si>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</si>
  <si>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</si>
  <si>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</si>
  <si>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</si>
  <si>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</si>
  <si>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</si>
  <si>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</si>
  <si>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</si>
  <si>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</si>
  <si>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</si>
  <si>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</si>
  <si>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</si>
  <si>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</si>
  <si>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</si>
  <si>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</si>
  <si>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</si>
  <si>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</si>
  <si>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</si>
  <si>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</si>
  <si>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</si>
  <si>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</si>
  <si>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</si>
  <si>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</si>
  <si>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</si>
  <si>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</si>
  <si>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</si>
  <si>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</si>
  <si>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</si>
  <si>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</si>
  <si>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</si>
  <si>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</si>
  <si>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</si>
  <si>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</si>
  <si>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</si>
  <si>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</si>
  <si>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</si>
  <si>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</si>
  <si>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</si>
  <si>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</si>
  <si>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</si>
  <si>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</si>
  <si>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</si>
  <si>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</si>
  <si>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</si>
  <si>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</si>
  <si>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</si>
  <si>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</si>
  <si>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</si>
  <si>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</si>
  <si>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</si>
  <si>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</si>
  <si>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</si>
  <si>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</si>
  <si>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</si>
  <si>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</si>
  <si>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</si>
  <si>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</si>
  <si>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</si>
  <si>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</si>
  <si>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</si>
  <si>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</si>
  <si>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</si>
  <si>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</si>
  <si>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</si>
  <si>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</si>
  <si>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</si>
  <si>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</si>
  <si>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</si>
  <si>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</si>
  <si>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</si>
  <si>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</si>
  <si>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</si>
  <si>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</si>
  <si>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</si>
  <si>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</si>
  <si>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</si>
  <si>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</si>
  <si>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</si>
  <si>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</si>
  <si>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</si>
  <si>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</si>
  <si>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</si>
  <si>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</si>
  <si>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</si>
  <si>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</si>
  <si>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</si>
  <si>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</si>
  <si>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</si>
  <si>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</si>
  <si>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</si>
  <si>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</si>
  <si>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</si>
  <si>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</si>
  <si>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</si>
  <si>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</si>
  <si>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</si>
  <si>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</si>
  <si>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</si>
  <si>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</si>
  <si>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</si>
  <si>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</si>
  <si>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</si>
  <si>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</si>
  <si>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</si>
  <si>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</si>
  <si>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</si>
  <si>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</si>
  <si>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</si>
  <si>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</si>
  <si>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</si>
  <si>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</si>
  <si>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</si>
  <si>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</si>
  <si>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</si>
  <si>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</si>
  <si>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</si>
  <si>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</si>
  <si>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</si>
  <si>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</si>
  <si>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</si>
  <si>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</si>
  <si>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</si>
  <si>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</si>
  <si>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</si>
  <si>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</si>
  <si>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</si>
  <si>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</si>
  <si>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</si>
  <si>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</si>
  <si>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</si>
  <si>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</si>
  <si>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</si>
  <si>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</si>
  <si>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</si>
  <si>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</si>
  <si>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</si>
  <si>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</si>
  <si>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</si>
  <si>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</si>
  <si>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</si>
  <si>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</si>
  <si>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</si>
  <si>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</si>
  <si>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</si>
  <si>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</si>
  <si>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</si>
  <si>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</si>
  <si>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</si>
  <si>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</si>
  <si>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</si>
  <si>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</si>
  <si>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</si>
  <si>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</si>
  <si>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</si>
  <si>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</si>
  <si>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</si>
  <si>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</si>
  <si>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</si>
  <si>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</si>
  <si>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</si>
  <si>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</si>
  <si>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</si>
  <si>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</si>
  <si>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</si>
  <si>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</si>
  <si>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</si>
  <si>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</si>
  <si>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</si>
  <si>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</si>
  <si>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</si>
  <si>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</si>
  <si>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</si>
  <si>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</si>
  <si>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</si>
  <si>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</si>
  <si>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</si>
  <si>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</si>
  <si>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</si>
  <si>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</si>
  <si>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</si>
  <si>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</si>
  <si>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</si>
  <si>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</si>
  <si>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</si>
  <si>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</si>
  <si>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</si>
  <si>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</si>
  <si>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</si>
  <si>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</si>
  <si>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</si>
  <si>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</si>
  <si>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</si>
  <si>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</si>
  <si>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</si>
  <si>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</si>
  <si>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</si>
  <si>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</si>
  <si>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</si>
  <si>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</si>
  <si>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</si>
  <si>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</si>
  <si>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</si>
  <si>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</si>
  <si>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</si>
  <si>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</si>
  <si>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</si>
  <si>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</si>
  <si>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</si>
  <si>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</si>
  <si>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</si>
  <si>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</si>
  <si>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</si>
  <si>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</si>
  <si>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</si>
  <si>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</si>
  <si>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</si>
  <si>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</si>
  <si>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</si>
  <si>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</si>
  <si>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</si>
  <si>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</si>
  <si>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</si>
  <si>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</si>
  <si>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</si>
  <si>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</si>
  <si>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</si>
  <si>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</si>
  <si>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</si>
  <si>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</si>
  <si>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</si>
  <si>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</si>
  <si>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</si>
  <si>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</si>
  <si>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</si>
  <si>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</si>
  <si>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</si>
  <si>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</si>
  <si>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</si>
  <si>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</si>
  <si>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</si>
  <si>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</si>
  <si>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</si>
  <si>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</si>
  <si>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</si>
  <si>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</si>
  <si>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</si>
  <si>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</si>
  <si>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</si>
  <si>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</si>
  <si>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</si>
  <si>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</si>
  <si>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</si>
  <si>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</si>
  <si>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</si>
  <si>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</si>
  <si>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</si>
  <si>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</si>
  <si>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</si>
  <si>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</si>
  <si>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</si>
  <si>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</si>
  <si>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</si>
  <si>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</si>
  <si>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</si>
  <si>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</si>
  <si>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</si>
  <si>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</si>
  <si>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</si>
  <si>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</si>
  <si>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</si>
  <si>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</si>
  <si>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</si>
  <si>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</si>
  <si>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</si>
  <si>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</si>
  <si>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</si>
  <si>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</si>
  <si>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</si>
  <si>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</si>
  <si>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</si>
  <si>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</si>
  <si>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</si>
  <si>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</si>
  <si>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</si>
  <si>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</si>
  <si>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</si>
  <si>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</si>
  <si>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</si>
  <si>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</si>
  <si>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</si>
  <si>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</si>
  <si>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</si>
  <si>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</si>
  <si>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</si>
  <si>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</si>
  <si>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</si>
  <si>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</si>
  <si>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</si>
  <si>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</si>
  <si>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</si>
  <si>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</si>
  <si>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</si>
  <si>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</si>
  <si>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</si>
  <si>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</si>
  <si>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</si>
  <si>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</si>
  <si>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</si>
  <si>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</si>
  <si>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</si>
  <si>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</si>
  <si>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</si>
  <si>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</si>
  <si>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</si>
  <si>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</si>
  <si>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</si>
  <si>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</si>
  <si>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</si>
  <si>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</si>
  <si>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</si>
  <si>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</si>
  <si>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</si>
  <si>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</si>
  <si>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</si>
  <si>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</si>
  <si>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</si>
  <si>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</si>
  <si>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</si>
  <si>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</si>
  <si>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</si>
  <si>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</si>
  <si>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</si>
  <si>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</si>
  <si>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</si>
  <si>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</si>
  <si>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</si>
  <si>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</si>
  <si>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</si>
  <si>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</si>
  <si>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</si>
  <si>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</si>
  <si>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</si>
  <si>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</si>
  <si>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</si>
  <si>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</si>
  <si>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</si>
  <si>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</si>
  <si>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</si>
  <si>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</si>
  <si>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</si>
  <si>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</si>
  <si>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</si>
  <si>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</si>
  <si>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</si>
  <si>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</si>
  <si>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</si>
  <si>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</si>
  <si>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</si>
  <si>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</si>
  <si>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</si>
  <si>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</si>
  <si>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</si>
  <si>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</si>
  <si>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</si>
  <si>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</si>
  <si>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</si>
  <si>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</si>
  <si>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</si>
  <si>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</si>
  <si>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</si>
  <si>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</si>
  <si>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</si>
  <si>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</si>
  <si>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</si>
  <si>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</si>
  <si>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</si>
  <si>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</si>
  <si>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</si>
  <si>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</si>
  <si>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</si>
  <si>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</si>
  <si>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</si>
  <si>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</si>
  <si>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</si>
  <si>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</si>
  <si>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</si>
  <si>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</si>
  <si>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</si>
  <si>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</si>
  <si>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</si>
  <si>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</si>
  <si>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</si>
  <si>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</si>
  <si>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</si>
  <si>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</si>
  <si>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</si>
  <si>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</si>
  <si>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</si>
  <si>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</si>
  <si>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</si>
  <si>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</si>
  <si>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</si>
  <si>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</si>
  <si>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</si>
  <si>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</si>
  <si>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</si>
  <si>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</si>
  <si>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</si>
  <si>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</si>
  <si>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</si>
  <si>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</si>
  <si>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</si>
  <si>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</si>
  <si>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</si>
  <si>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</si>
  <si>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</si>
  <si>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</si>
  <si>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</si>
  <si>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</si>
  <si>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</si>
  <si>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</si>
  <si>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</si>
  <si>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</si>
  <si>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</si>
  <si>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</si>
  <si>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</si>
  <si>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</si>
  <si>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</si>
  <si>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</si>
  <si>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</si>
  <si>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</si>
  <si>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</si>
  <si>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</si>
  <si>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</si>
  <si>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</si>
  <si>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</si>
  <si>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</si>
  <si>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</si>
  <si>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</si>
  <si>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</si>
  <si>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</si>
  <si>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</si>
  <si>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</si>
  <si>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</si>
  <si>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</si>
  <si>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</si>
  <si>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</si>
  <si>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</si>
  <si>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</si>
  <si>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</si>
  <si>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</si>
  <si>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</si>
  <si>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</si>
  <si>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</si>
  <si>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</si>
  <si>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</si>
  <si>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</si>
  <si>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</si>
  <si>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</si>
  <si>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</si>
  <si>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</si>
  <si>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</si>
  <si>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</si>
  <si>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</si>
  <si>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</si>
  <si>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</si>
  <si>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</si>
  <si>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</si>
  <si>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</si>
  <si>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</si>
  <si>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</si>
  <si>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</si>
  <si>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</si>
  <si>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</si>
  <si>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</si>
  <si>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</si>
  <si>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</si>
  <si>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</si>
  <si>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</si>
  <si>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</si>
  <si>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</si>
  <si>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</si>
  <si>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</si>
  <si>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</si>
  <si>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</si>
  <si>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</si>
  <si>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</si>
  <si>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</si>
  <si>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</si>
  <si>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</si>
  <si>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</si>
  <si>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</si>
  <si>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</si>
  <si>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</si>
  <si>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</si>
  <si>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</si>
  <si>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</si>
  <si>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</si>
  <si>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</si>
  <si>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</si>
  <si>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</si>
  <si>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</si>
  <si>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</si>
  <si>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</si>
  <si>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</si>
  <si>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</si>
  <si>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</si>
  <si>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</si>
  <si>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</si>
  <si>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</si>
  <si>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</si>
  <si>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</si>
  <si>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</si>
  <si>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</si>
  <si>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</si>
  <si>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</si>
  <si>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</si>
  <si>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</si>
  <si>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</si>
  <si>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</si>
  <si>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</si>
  <si>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</si>
  <si>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</si>
  <si>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</si>
  <si>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</si>
  <si>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</si>
  <si>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</si>
  <si>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</si>
  <si>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</si>
  <si>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</si>
  <si>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</si>
  <si>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</si>
  <si>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</si>
  <si>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</si>
  <si>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</si>
  <si>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</si>
  <si>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</si>
  <si>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</si>
  <si>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</si>
  <si>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</si>
  <si>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</si>
  <si>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</si>
  <si>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</si>
  <si>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</si>
  <si>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</si>
  <si>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</si>
  <si>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</si>
  <si>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</si>
  <si>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</si>
  <si>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</si>
  <si>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</si>
  <si>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</si>
  <si>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</si>
  <si>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</si>
  <si>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</si>
  <si>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</si>
  <si>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</si>
  <si>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</si>
  <si>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</si>
  <si>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</si>
  <si>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</si>
  <si>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</si>
  <si>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</si>
  <si>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</si>
  <si>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</si>
  <si>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</si>
  <si>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</si>
  <si>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</si>
  <si>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</si>
  <si>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</si>
  <si>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</si>
  <si>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</si>
  <si>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</si>
  <si>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</si>
  <si>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</si>
  <si>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</si>
  <si>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</si>
  <si>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</si>
  <si>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</si>
  <si>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</si>
  <si>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</si>
  <si>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</si>
  <si>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</si>
  <si>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</si>
  <si>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</si>
  <si>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</si>
  <si>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</si>
  <si>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</si>
  <si>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</si>
  <si>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</si>
  <si>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</si>
  <si>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</si>
  <si>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</si>
  <si>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</si>
  <si>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</si>
  <si>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</si>
  <si>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</si>
  <si>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</si>
  <si>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</si>
  <si>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</si>
  <si>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</si>
  <si>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</si>
  <si>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</si>
  <si>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</si>
  <si>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</si>
  <si>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</si>
  <si>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</si>
  <si>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</si>
  <si>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</si>
  <si>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</si>
  <si>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</si>
  <si>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</si>
  <si>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</si>
  <si>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</si>
  <si>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</si>
  <si>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</si>
  <si>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</si>
  <si>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</si>
  <si>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</si>
  <si>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</si>
  <si>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</si>
  <si>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</si>
  <si>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</si>
  <si>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</si>
  <si>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</si>
  <si>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</si>
  <si>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</si>
  <si>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</si>
  <si>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</si>
  <si>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</si>
  <si>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</si>
  <si>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</si>
  <si>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</si>
  <si>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</si>
  <si>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</si>
  <si>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</si>
  <si>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</si>
  <si>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</si>
  <si>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</si>
  <si>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</si>
  <si>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</si>
  <si>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</si>
  <si>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</si>
  <si>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</si>
  <si>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</si>
  <si>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</si>
  <si>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</si>
  <si>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</si>
  <si>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</si>
  <si>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</si>
  <si>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</si>
  <si>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</si>
  <si>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</si>
  <si>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</si>
  <si>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</si>
  <si>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</si>
  <si>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</si>
  <si>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</si>
  <si>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</si>
  <si>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</si>
  <si>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</si>
  <si>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</si>
  <si>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</si>
  <si>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</si>
  <si>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</si>
  <si>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</si>
  <si>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</si>
  <si>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</si>
  <si>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</si>
  <si>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</si>
  <si>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</si>
  <si>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</si>
  <si>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</si>
  <si>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</si>
  <si>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</si>
  <si>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</si>
  <si>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</si>
  <si>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</si>
  <si>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</si>
  <si>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</si>
  <si>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</si>
  <si>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</si>
  <si>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</si>
  <si>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</si>
  <si>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</si>
  <si>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</si>
  <si>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</si>
  <si>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</si>
  <si>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</si>
  <si>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</si>
  <si>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</si>
  <si>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</si>
  <si>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</si>
  <si>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</si>
  <si>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</si>
  <si>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</si>
  <si>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</si>
  <si>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</si>
  <si>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</si>
  <si>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</si>
  <si>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</si>
  <si>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</si>
  <si>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</si>
  <si>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</si>
  <si>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</si>
  <si>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</si>
  <si>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</si>
  <si>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</si>
  <si>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</si>
  <si>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</si>
  <si>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</si>
  <si>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</si>
  <si>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</si>
  <si>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</si>
  <si>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</si>
  <si>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</si>
  <si>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</si>
  <si>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</si>
  <si>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</si>
  <si>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</si>
  <si>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</si>
  <si>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</si>
  <si>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</si>
  <si>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</si>
  <si>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</si>
  <si>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</si>
  <si>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</si>
  <si>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</si>
  <si>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</si>
  <si>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</si>
  <si>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</si>
  <si>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</si>
  <si>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</si>
  <si>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</si>
  <si>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</si>
  <si>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</si>
  <si>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</si>
  <si>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</si>
  <si>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</si>
  <si>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</si>
  <si>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</si>
  <si>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</si>
  <si>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</si>
  <si>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</si>
  <si>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</si>
  <si>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</si>
  <si>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</si>
  <si>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</si>
  <si>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</si>
  <si>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</si>
  <si>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</si>
  <si>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</si>
  <si>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</si>
  <si>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</si>
  <si>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</si>
  <si>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</si>
  <si>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</si>
  <si>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</si>
  <si>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</si>
  <si>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</si>
  <si>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</si>
  <si>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</si>
  <si>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</si>
  <si>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</si>
  <si>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</si>
  <si>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</si>
  <si>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</si>
  <si>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</si>
  <si>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</si>
  <si>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</si>
  <si>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</si>
  <si>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</si>
  <si>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</si>
  <si>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</si>
  <si>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</si>
  <si>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</si>
  <si>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</si>
  <si>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</si>
  <si>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</si>
  <si>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</si>
  <si>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</si>
  <si>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</si>
  <si>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</si>
  <si>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</si>
  <si>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</si>
  <si>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</si>
  <si>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</si>
  <si>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</si>
  <si>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</si>
  <si>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</si>
  <si>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</si>
  <si>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</si>
  <si>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</si>
  <si>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</si>
  <si>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</si>
  <si>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</si>
  <si>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</si>
  <si>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</si>
  <si>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</si>
  <si>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</si>
  <si>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</si>
  <si>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</si>
  <si>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</si>
  <si>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</si>
  <si>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</si>
  <si>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</si>
  <si>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</si>
  <si>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</si>
  <si>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</si>
  <si>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</si>
  <si>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</si>
  <si>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</si>
  <si>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</si>
  <si>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</si>
  <si>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</si>
  <si>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</si>
  <si>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</si>
  <si>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</si>
  <si>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</si>
  <si>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</si>
  <si>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</si>
  <si>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</si>
  <si>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</si>
  <si>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</si>
  <si>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</si>
  <si>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</si>
  <si>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</si>
  <si>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</si>
  <si>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</si>
  <si>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</si>
  <si>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</si>
  <si>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</si>
  <si>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</si>
  <si>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</si>
  <si>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</si>
  <si>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</si>
  <si>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</si>
  <si>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</si>
  <si>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</si>
  <si>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</si>
  <si>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</si>
  <si>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</si>
  <si>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</si>
  <si>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</si>
  <si>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</si>
  <si>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</si>
  <si>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</si>
  <si>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</si>
  <si>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</si>
  <si>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</si>
  <si>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</si>
  <si>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</si>
  <si>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</si>
  <si>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</si>
  <si>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</si>
  <si>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</si>
  <si>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</si>
  <si>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</si>
  <si>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</si>
  <si>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</si>
  <si>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</si>
  <si>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</si>
  <si>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</si>
  <si>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</si>
  <si>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</si>
  <si>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</si>
  <si>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</si>
  <si>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</si>
  <si>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</si>
  <si>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</si>
  <si>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</si>
  <si>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</si>
  <si>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</si>
  <si>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</si>
  <si>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</si>
  <si>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</si>
  <si>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</si>
  <si>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</si>
  <si>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</si>
  <si>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</si>
  <si>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</si>
  <si>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</si>
  <si>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</si>
  <si>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</si>
  <si>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</si>
  <si>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</si>
  <si>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</si>
  <si>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</si>
  <si>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</si>
  <si>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</si>
  <si>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</si>
  <si>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</si>
  <si>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</si>
  <si>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</si>
  <si>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</si>
  <si>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</si>
  <si>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</si>
  <si>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</si>
  <si>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</si>
  <si>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</si>
  <si>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</si>
  <si>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</si>
  <si>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</si>
  <si>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</si>
  <si>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</si>
  <si>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</si>
  <si>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</si>
  <si>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</si>
  <si>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</si>
  <si>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</si>
  <si>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</si>
  <si>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</si>
  <si>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</si>
  <si>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</si>
  <si>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</si>
  <si>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</si>
  <si>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</si>
  <si>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</si>
  <si>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</si>
  <si>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</si>
  <si>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</si>
  <si>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</si>
  <si>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</si>
  <si>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</si>
  <si>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</si>
  <si>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</si>
  <si>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</si>
  <si>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</si>
  <si>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</si>
  <si>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</si>
  <si>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</si>
  <si>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</si>
  <si>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</si>
  <si>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</si>
  <si>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</si>
  <si>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</si>
  <si>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</si>
  <si>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</si>
  <si>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</si>
  <si>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</si>
  <si>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</si>
  <si>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</si>
  <si>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</si>
  <si>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</si>
  <si>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</si>
  <si>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</si>
  <si>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</si>
  <si>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</si>
  <si>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</si>
  <si>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</si>
  <si>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</si>
  <si>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</si>
  <si>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</si>
  <si>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</si>
  <si>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</si>
  <si>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</si>
  <si>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</si>
  <si>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</si>
  <si>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</si>
  <si>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</si>
  <si>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</si>
  <si>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</si>
  <si>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</si>
  <si>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</si>
  <si>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</si>
  <si>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</si>
  <si>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</si>
  <si>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</si>
  <si>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</si>
  <si>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</si>
  <si>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</si>
  <si>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</si>
  <si>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</si>
  <si>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</si>
  <si>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</si>
  <si>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</si>
  <si>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</si>
  <si>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</si>
  <si>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</si>
  <si>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</si>
  <si>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</si>
  <si>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</si>
  <si>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</si>
  <si>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</si>
  <si>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</si>
  <si>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</si>
  <si>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</si>
  <si>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</si>
  <si>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</si>
  <si>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</si>
  <si>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</si>
  <si>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</si>
  <si>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</si>
  <si>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</si>
  <si>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</si>
  <si>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</si>
  <si>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</si>
  <si>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</si>
  <si>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</si>
  <si>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</si>
  <si>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</si>
  <si>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</si>
  <si>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</si>
  <si>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</si>
  <si>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</si>
  <si>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</si>
  <si>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</si>
  <si>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</si>
  <si>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</si>
  <si>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</si>
  <si>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</si>
  <si>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</si>
  <si>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</si>
  <si>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</si>
  <si>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</si>
  <si>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</si>
  <si>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</si>
  <si>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</si>
  <si>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</si>
  <si>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</si>
  <si>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</si>
  <si>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</si>
  <si>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</si>
  <si>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</si>
  <si>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</si>
  <si>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</si>
  <si>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</si>
  <si>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</si>
  <si>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</si>
  <si>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</si>
  <si>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</si>
  <si>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</si>
  <si>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</si>
  <si>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</si>
  <si>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</si>
  <si>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</si>
  <si>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</si>
  <si>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</si>
  <si>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</si>
  <si>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</si>
  <si>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</si>
  <si>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</si>
  <si>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</si>
  <si>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</si>
  <si>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</si>
  <si>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</si>
  <si>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</si>
  <si>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</si>
  <si>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</si>
  <si>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</si>
  <si>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</si>
  <si>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</si>
  <si>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</si>
  <si>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</si>
  <si>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</si>
  <si>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</si>
  <si>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</si>
  <si>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</si>
  <si>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</si>
  <si>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</si>
  <si>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</si>
  <si>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</si>
  <si>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</si>
  <si>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</si>
  <si>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</si>
  <si>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</si>
  <si>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</si>
  <si>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</si>
  <si>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</si>
  <si>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</si>
  <si>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</si>
  <si>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</si>
  <si>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</si>
  <si>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</si>
  <si>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</si>
  <si>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</si>
  <si>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</si>
  <si>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</si>
  <si>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</si>
  <si>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</si>
  <si>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</si>
  <si>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</si>
  <si>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</si>
  <si>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</si>
  <si>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</si>
  <si>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</si>
  <si>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</si>
  <si>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</si>
  <si>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</si>
  <si>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</si>
  <si>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</si>
  <si>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</si>
  <si>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</si>
  <si>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</si>
  <si>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</si>
  <si>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</si>
  <si>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</si>
  <si>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</si>
  <si>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</si>
  <si>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</si>
  <si>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</si>
  <si>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</si>
  <si>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</si>
  <si>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</si>
  <si>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</si>
  <si>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</si>
  <si>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</si>
  <si>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</si>
  <si>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</si>
  <si>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</si>
  <si>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</si>
  <si>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</si>
  <si>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</si>
  <si>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</si>
  <si>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</si>
  <si>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</si>
  <si>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</si>
  <si>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</si>
  <si>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</si>
  <si>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</si>
  <si>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</si>
  <si>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</si>
  <si>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</si>
  <si>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</si>
  <si>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</si>
  <si>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</si>
  <si>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</si>
  <si>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</si>
  <si>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</si>
  <si>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</si>
  <si>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</si>
  <si>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</si>
  <si>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</si>
  <si>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</si>
  <si>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</si>
  <si>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</si>
  <si>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</si>
  <si>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</si>
  <si>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</si>
  <si>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</si>
  <si>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</si>
  <si>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</si>
  <si>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</si>
  <si>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</si>
  <si>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</si>
  <si>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</si>
  <si>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</si>
  <si>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</si>
  <si>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</si>
  <si>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</si>
  <si>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</si>
  <si>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</si>
  <si>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</si>
  <si>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</si>
  <si>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</si>
  <si>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</si>
  <si>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</si>
  <si>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</si>
  <si>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</si>
  <si>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</si>
  <si>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</si>
  <si>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</si>
  <si>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</si>
  <si>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</si>
  <si>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</si>
  <si>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</si>
  <si>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</si>
  <si>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</si>
  <si>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</si>
  <si>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</si>
  <si>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</si>
  <si>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</si>
  <si>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</si>
  <si>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</si>
  <si>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</si>
  <si>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</si>
  <si>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</si>
  <si>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</si>
  <si>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</si>
  <si>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</si>
  <si>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</si>
  <si>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</si>
  <si>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</si>
  <si>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</si>
  <si>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</si>
  <si>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</si>
  <si>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</si>
  <si>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</si>
  <si>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</si>
  <si>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</si>
  <si>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</si>
  <si>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</si>
  <si>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</si>
  <si>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</si>
  <si>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</si>
  <si>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</si>
  <si>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</si>
  <si>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</si>
  <si>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</si>
  <si>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</si>
  <si>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</si>
  <si>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</si>
  <si>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</si>
  <si>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</si>
  <si>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</si>
  <si>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</si>
  <si>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</si>
  <si>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</si>
  <si>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</si>
  <si>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</si>
  <si>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</si>
  <si>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</si>
  <si>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</si>
  <si>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</si>
  <si>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</si>
  <si>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</si>
  <si>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</si>
  <si>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</si>
  <si>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</si>
  <si>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</si>
  <si>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</si>
  <si>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</si>
  <si>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</si>
  <si>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</si>
  <si>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</si>
  <si>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</si>
  <si>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</si>
  <si>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</si>
  <si>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</si>
  <si>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</si>
  <si>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</si>
  <si>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</si>
  <si>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</si>
  <si>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</si>
  <si>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</si>
  <si>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</si>
  <si>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</si>
  <si>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</si>
  <si>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</si>
  <si>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</si>
  <si>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</si>
  <si>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</si>
  <si>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</si>
  <si>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</si>
  <si>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</si>
  <si>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</si>
  <si>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</si>
  <si>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</si>
  <si>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</si>
  <si>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</si>
  <si>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</si>
  <si>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</si>
  <si>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</si>
  <si>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</si>
  <si>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</si>
  <si>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</si>
  <si>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</si>
  <si>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</si>
  <si>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</si>
  <si>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</si>
  <si>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</si>
  <si>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</si>
  <si>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</si>
  <si>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</si>
  <si>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</si>
  <si>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</si>
  <si>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</si>
  <si>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</si>
  <si>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</si>
  <si>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</si>
  <si>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</si>
  <si>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</si>
  <si>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</si>
  <si>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</si>
  <si>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</si>
  <si>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</si>
  <si>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</si>
  <si>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</si>
  <si>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</si>
  <si>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</si>
  <si>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</si>
  <si>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</si>
  <si>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</si>
  <si>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</si>
  <si>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</si>
  <si>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</si>
  <si>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</si>
  <si>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</si>
  <si>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</si>
  <si>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</si>
  <si>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</si>
  <si>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</si>
  <si>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</si>
  <si>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</si>
  <si>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</si>
  <si>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</si>
  <si>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</si>
  <si>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</si>
  <si>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</si>
  <si>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</si>
  <si>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</si>
  <si>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</si>
  <si>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</si>
  <si>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</si>
  <si>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</si>
  <si>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</si>
  <si>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</si>
  <si>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</si>
  <si>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</si>
  <si>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</si>
  <si>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</si>
  <si>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</si>
  <si>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</si>
  <si>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</si>
  <si>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</si>
  <si>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</si>
  <si>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</si>
  <si>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</si>
  <si>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</si>
  <si>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</si>
  <si>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</si>
  <si>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</si>
  <si>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</si>
  <si>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</si>
  <si>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</si>
  <si>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</si>
  <si>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</si>
  <si>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</si>
  <si>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</si>
  <si>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</si>
  <si>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</si>
  <si>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</si>
  <si>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</si>
  <si>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</si>
  <si>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</si>
  <si>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</si>
  <si>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</si>
  <si>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</si>
  <si>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</si>
  <si>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</si>
  <si>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</si>
  <si>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</si>
  <si>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</si>
  <si>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</si>
  <si>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</si>
  <si>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</si>
  <si>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</si>
  <si>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</si>
  <si>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</si>
  <si>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</si>
  <si>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</si>
  <si>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</si>
  <si>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</si>
  <si>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</si>
  <si>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</si>
  <si>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</si>
  <si>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</si>
  <si>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</si>
  <si>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</si>
  <si>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</si>
  <si>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</si>
  <si>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</si>
  <si>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</si>
  <si>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</si>
  <si>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</si>
  <si>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</si>
  <si>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</si>
  <si>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</si>
  <si>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</si>
  <si>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</si>
  <si>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</si>
  <si>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</si>
  <si>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</si>
  <si>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</si>
  <si>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</si>
  <si>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</si>
  <si>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</si>
  <si>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</si>
  <si>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</si>
  <si>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</si>
  <si>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</si>
  <si>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</si>
  <si>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</si>
  <si>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</si>
  <si>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</si>
  <si>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</si>
  <si>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</si>
  <si>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</si>
  <si>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</si>
  <si>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</si>
  <si>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</si>
  <si>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</si>
  <si>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</si>
  <si>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</si>
  <si>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</si>
  <si>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</si>
  <si>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</si>
  <si>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</si>
  <si>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</si>
  <si>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</si>
  <si>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</si>
  <si>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</si>
  <si>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</si>
  <si>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</si>
  <si>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</si>
  <si>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</si>
  <si>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</si>
  <si>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</si>
  <si>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</si>
  <si>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</si>
  <si>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</si>
  <si>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</si>
  <si>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</si>
  <si>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</si>
  <si>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</si>
  <si>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</si>
  <si>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</si>
  <si>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</si>
  <si>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</si>
  <si>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</si>
  <si>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</si>
  <si>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</si>
  <si>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</si>
  <si>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</si>
  <si>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</si>
  <si>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</si>
  <si>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</si>
  <si>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</si>
  <si>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</si>
  <si>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</si>
  <si>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</si>
  <si>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</si>
  <si>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</si>
  <si>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</si>
  <si>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</si>
  <si>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</si>
  <si>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</si>
  <si>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</si>
  <si>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</si>
  <si>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</si>
  <si>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</si>
  <si>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</si>
  <si>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</si>
  <si>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</si>
  <si>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</si>
  <si>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</si>
  <si>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</si>
  <si>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</si>
  <si>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</si>
  <si>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</si>
  <si>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</si>
  <si>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</si>
  <si>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</si>
  <si>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</si>
  <si>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</si>
  <si>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</si>
  <si>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</si>
  <si>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</si>
  <si>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</si>
  <si>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</si>
  <si>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</si>
  <si>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</si>
  <si>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</si>
  <si>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</si>
  <si>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</si>
  <si>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</si>
  <si>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</si>
  <si>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</si>
  <si>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</si>
  <si>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</si>
  <si>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</si>
  <si>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</si>
  <si>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</si>
  <si>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</si>
  <si>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</si>
  <si>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</si>
  <si>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</si>
  <si>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</si>
  <si>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</si>
  <si>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</si>
  <si>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</si>
  <si>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</si>
  <si>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</si>
  <si>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</si>
  <si>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</si>
  <si>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</si>
  <si>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</si>
  <si>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</si>
  <si>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</si>
  <si>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</si>
  <si>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</si>
  <si>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</si>
  <si>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</si>
  <si>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</si>
  <si>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</si>
  <si>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</si>
  <si>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</si>
  <si>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</si>
  <si>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</si>
  <si>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</si>
  <si>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</si>
  <si>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</si>
  <si>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</si>
  <si>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</si>
  <si>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</si>
  <si>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</si>
  <si>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</si>
  <si>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</si>
  <si>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</si>
  <si>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</si>
  <si>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</si>
  <si>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</si>
  <si>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</si>
  <si>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</si>
  <si>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</si>
  <si>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</si>
  <si>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</si>
  <si>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</si>
  <si>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</si>
  <si>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</si>
  <si>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</si>
  <si>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</si>
  <si>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</si>
  <si>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</si>
  <si>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</si>
  <si>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</si>
  <si>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</si>
  <si>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</si>
  <si>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</si>
  <si>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</si>
  <si>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</si>
  <si>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</si>
  <si>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</si>
  <si>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</si>
  <si>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</si>
  <si>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</si>
  <si>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</si>
  <si>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</si>
  <si>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</si>
  <si>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</si>
  <si>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</si>
  <si>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</si>
  <si>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</si>
  <si>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</si>
  <si>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</si>
  <si>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</si>
  <si>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</si>
  <si>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</si>
  <si>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</si>
  <si>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</si>
  <si>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</si>
  <si>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</si>
  <si>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</si>
  <si>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</si>
  <si>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</si>
  <si>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</si>
  <si>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</si>
  <si>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</si>
  <si>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</si>
  <si>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</si>
  <si>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</si>
  <si>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</si>
  <si>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</si>
  <si>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</si>
  <si>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</si>
  <si>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</si>
  <si>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</si>
  <si>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</si>
  <si>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</si>
  <si>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</si>
  <si>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</si>
  <si>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</si>
  <si>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</si>
  <si>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</si>
  <si>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</si>
  <si>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</si>
  <si>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</si>
  <si>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</si>
  <si>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</si>
  <si>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</si>
  <si>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</si>
  <si>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</si>
  <si>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</si>
  <si>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</si>
  <si>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</si>
  <si>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</si>
  <si>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</si>
  <si>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</si>
  <si>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</si>
  <si>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</si>
  <si>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</si>
  <si>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</si>
  <si>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</si>
  <si>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</si>
  <si>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</si>
  <si>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</si>
  <si>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</si>
  <si>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</si>
  <si>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</si>
  <si>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</si>
  <si>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</si>
  <si>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</si>
  <si>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</si>
  <si>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</si>
  <si>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</si>
  <si>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</si>
  <si>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</si>
  <si>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</si>
  <si>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</si>
  <si>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</si>
  <si>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</si>
  <si>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</si>
  <si>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</si>
  <si>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</si>
  <si>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</si>
  <si>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</si>
  <si>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</si>
  <si>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</si>
  <si>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</si>
  <si>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</si>
  <si>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</si>
  <si>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</si>
  <si>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</si>
  <si>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</si>
  <si>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</si>
  <si>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</si>
  <si>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</si>
  <si>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</si>
  <si>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</si>
  <si>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</si>
  <si>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</si>
  <si>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</si>
  <si>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</si>
  <si>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</si>
  <si>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</si>
  <si>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</si>
  <si>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</si>
  <si>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</si>
  <si>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</si>
  <si>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</si>
  <si>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</si>
  <si>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</si>
  <si>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</si>
  <si>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</si>
  <si>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</si>
  <si>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</si>
  <si>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</si>
  <si>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</si>
  <si>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</si>
  <si>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</si>
  <si>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</si>
  <si>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</si>
  <si>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</si>
  <si>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</si>
  <si>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</si>
  <si>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</si>
  <si>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</si>
  <si>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</si>
  <si>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</si>
  <si>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</si>
  <si>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</si>
  <si>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</si>
  <si>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</si>
  <si>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</si>
  <si>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</si>
  <si>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</si>
  <si>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</si>
  <si>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</si>
  <si>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</si>
  <si>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</si>
  <si>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</si>
  <si>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</si>
  <si>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</si>
  <si>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</si>
  <si>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</si>
  <si>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</si>
  <si>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</si>
  <si>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</si>
  <si>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</si>
  <si>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</si>
  <si>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</si>
  <si>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</si>
  <si>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</si>
  <si>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</si>
  <si>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</si>
  <si>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</si>
  <si>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</si>
  <si>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</si>
  <si>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</si>
  <si>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</si>
  <si>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</si>
  <si>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</si>
  <si>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</si>
  <si>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</si>
  <si>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</si>
  <si>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</si>
  <si>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</si>
  <si>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</si>
  <si>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</si>
  <si>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</si>
  <si>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</si>
  <si>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</si>
  <si>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</si>
  <si>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</si>
  <si>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</si>
  <si>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</si>
  <si>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</si>
  <si>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</si>
  <si>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</si>
  <si>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</si>
  <si>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</si>
  <si>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</si>
  <si>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</si>
  <si>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</si>
  <si>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</si>
  <si>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</si>
  <si>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</si>
  <si>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</si>
  <si>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</si>
  <si>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</si>
  <si>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</si>
  <si>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</si>
  <si>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</si>
  <si>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</si>
  <si>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</si>
  <si>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</si>
  <si>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</si>
  <si>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</si>
  <si>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</si>
  <si>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</si>
  <si>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</si>
  <si>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</si>
  <si>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</si>
  <si>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</si>
  <si>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</si>
  <si>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</si>
  <si>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</si>
  <si>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</si>
  <si>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</si>
  <si>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</si>
  <si>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</si>
  <si>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</si>
  <si>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</si>
  <si>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</si>
  <si>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</si>
  <si>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</si>
  <si>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</si>
  <si>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</si>
  <si>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</si>
  <si>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</si>
  <si>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</si>
  <si>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</si>
  <si>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</si>
  <si>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</si>
  <si>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</si>
  <si>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</si>
  <si>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</si>
  <si>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</si>
  <si>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</si>
  <si>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</si>
  <si>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</si>
  <si>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</si>
  <si>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</si>
  <si>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</si>
  <si>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</si>
  <si>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</si>
  <si>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</si>
  <si>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</si>
  <si>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</si>
  <si>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</si>
  <si>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</si>
  <si>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</si>
  <si>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</si>
  <si>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</si>
  <si>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</si>
  <si>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</si>
  <si>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</si>
  <si>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</si>
  <si>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</si>
  <si>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</si>
  <si>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</si>
  <si>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</si>
  <si>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</si>
  <si>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</si>
  <si>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</si>
  <si>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</si>
  <si>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</si>
  <si>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</si>
  <si>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</si>
  <si>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</si>
  <si>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</si>
  <si>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</si>
  <si>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</si>
  <si>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</si>
  <si>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</si>
  <si>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</si>
  <si>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</si>
  <si>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</si>
  <si>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</si>
  <si>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</si>
  <si>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</si>
  <si>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</si>
  <si>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</si>
  <si>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</si>
  <si>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</si>
  <si>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</si>
  <si>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</si>
  <si>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</si>
  <si>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</si>
  <si>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</si>
  <si>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</si>
  <si>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</si>
  <si>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</si>
  <si>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</si>
  <si>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</si>
  <si>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</si>
  <si>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</si>
  <si>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</si>
  <si>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</si>
  <si>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</si>
  <si>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</si>
  <si>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</si>
  <si>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</si>
  <si>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</si>
  <si>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</si>
  <si>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</si>
  <si>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</si>
  <si>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</si>
  <si>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</si>
  <si>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</si>
  <si>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</si>
  <si>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</si>
  <si>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</si>
  <si>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</si>
  <si>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</si>
  <si>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</si>
  <si>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</si>
  <si>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</si>
  <si>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</si>
  <si>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</si>
  <si>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</si>
  <si>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</si>
  <si>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</si>
  <si>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</si>
  <si>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</si>
  <si>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</si>
  <si>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</si>
  <si>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</si>
  <si>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</si>
  <si>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</si>
  <si>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</si>
  <si>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</si>
  <si>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</si>
  <si>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</si>
  <si>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</si>
  <si>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</si>
  <si>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</si>
  <si>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</si>
  <si>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</si>
  <si>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</si>
  <si>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</si>
  <si>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</si>
  <si>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</si>
  <si>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</si>
  <si>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</si>
  <si>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</si>
  <si>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</si>
  <si>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</si>
  <si>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</si>
  <si>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</si>
  <si>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</si>
  <si>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</si>
  <si>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</si>
  <si>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</si>
  <si>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</si>
  <si>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</si>
  <si>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</si>
  <si>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</si>
  <si>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</si>
  <si>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</si>
  <si>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</si>
  <si>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</si>
  <si>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</si>
  <si>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</si>
  <si>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</si>
  <si>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</si>
  <si>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</si>
  <si>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</si>
  <si>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</si>
  <si>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</si>
  <si>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</si>
  <si>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</si>
  <si>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</si>
  <si>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</si>
  <si>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</si>
  <si>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</si>
  <si>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</si>
  <si>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</si>
  <si>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</si>
  <si>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</si>
  <si>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</si>
  <si>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</si>
  <si>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</si>
  <si>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</si>
  <si>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</si>
  <si>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</si>
  <si>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</si>
  <si>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</si>
  <si>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</si>
  <si>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</si>
  <si>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</si>
  <si>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</si>
  <si>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</si>
  <si>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</si>
  <si>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</si>
  <si>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</si>
  <si>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</si>
  <si>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</si>
  <si>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</si>
  <si>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</si>
  <si>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</si>
  <si>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</si>
  <si>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</si>
  <si>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</si>
  <si>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</si>
  <si>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</si>
  <si>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</si>
  <si>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</si>
  <si>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</si>
  <si>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</si>
  <si>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</si>
  <si>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</si>
  <si>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</si>
  <si>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</si>
  <si>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</si>
  <si>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</si>
  <si>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</si>
  <si>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</si>
  <si>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</si>
  <si>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</si>
  <si>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</si>
  <si>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</si>
  <si>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</si>
  <si>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</si>
  <si>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</si>
  <si>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</si>
  <si>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</si>
  <si>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</si>
  <si>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</si>
  <si>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</si>
  <si>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</si>
  <si>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</si>
  <si>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</si>
  <si>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</si>
  <si>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</si>
  <si>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</si>
  <si>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</si>
  <si>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</si>
  <si>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</si>
  <si>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</si>
  <si>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</si>
  <si>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</si>
  <si>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</si>
  <si>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</si>
  <si>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</si>
  <si>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</si>
  <si>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</si>
  <si>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</si>
  <si>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</si>
  <si>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</si>
  <si>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</si>
  <si>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</si>
  <si>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</si>
  <si>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</si>
  <si>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</si>
  <si>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</si>
  <si>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</si>
  <si>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</si>
  <si>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</si>
  <si>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</si>
  <si>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</si>
  <si>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</si>
  <si>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</si>
  <si>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</si>
  <si>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</si>
  <si>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</si>
  <si>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</si>
  <si>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</si>
  <si>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</si>
  <si>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</si>
  <si>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</si>
  <si>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</si>
  <si>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</si>
  <si>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</si>
  <si>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</si>
  <si>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</si>
  <si>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</si>
  <si>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</si>
  <si>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</si>
  <si>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</si>
  <si>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</si>
  <si>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</si>
  <si>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</si>
  <si>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</si>
  <si>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</si>
  <si>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</si>
  <si>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</si>
  <si>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</si>
  <si>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</si>
  <si>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</si>
  <si>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</si>
  <si>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</si>
  <si>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</si>
  <si>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</si>
  <si>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</si>
  <si>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</si>
  <si>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</si>
  <si>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</si>
  <si>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</si>
  <si>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</si>
  <si>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</si>
  <si>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</si>
  <si>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</si>
  <si>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</si>
  <si>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</si>
  <si>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</si>
  <si>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</si>
  <si>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</si>
  <si>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</si>
  <si>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</si>
  <si>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</si>
  <si>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</si>
  <si>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</si>
  <si>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</si>
  <si>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</si>
  <si>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</si>
  <si>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</si>
  <si>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</si>
  <si>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</si>
  <si>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</si>
  <si>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</si>
  <si>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</si>
  <si>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</si>
  <si>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</si>
  <si>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</si>
  <si>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</si>
  <si>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</si>
  <si>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</si>
  <si>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</si>
  <si>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</si>
  <si>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</si>
  <si>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</si>
  <si>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</si>
  <si>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</si>
  <si>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</si>
  <si>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</si>
  <si>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</si>
  <si>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</si>
  <si>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</si>
  <si>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</si>
  <si>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</si>
  <si>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</si>
  <si>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</si>
  <si>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</si>
  <si>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</si>
  <si>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</si>
  <si>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</si>
  <si>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</si>
  <si>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</si>
  <si>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</si>
  <si>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</si>
  <si>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</si>
  <si>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</si>
  <si>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</si>
  <si>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</si>
  <si>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</si>
  <si>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</si>
  <si>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</si>
  <si>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</si>
  <si>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</si>
  <si>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</si>
  <si>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</si>
  <si>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</si>
  <si>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</si>
  <si>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</si>
  <si>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</si>
  <si>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</si>
  <si>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</si>
  <si>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</si>
  <si>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</si>
  <si>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</si>
  <si>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</si>
  <si>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</si>
  <si>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</si>
  <si>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</si>
  <si>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</si>
  <si>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</si>
  <si>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</si>
  <si>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</si>
  <si>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</si>
  <si>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</si>
  <si>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</si>
  <si>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</si>
  <si>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</si>
  <si>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</si>
  <si>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</si>
  <si>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</si>
  <si>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</si>
  <si>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</si>
  <si>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</si>
  <si>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</si>
  <si>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</si>
  <si>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</si>
  <si>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</si>
  <si>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</si>
  <si>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</si>
  <si>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</si>
  <si>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</si>
  <si>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</si>
  <si>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</si>
  <si>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</si>
  <si>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</si>
  <si>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</si>
  <si>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</si>
  <si>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</si>
  <si>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</si>
  <si>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</si>
  <si>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</si>
  <si>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</si>
  <si>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</si>
  <si>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</si>
  <si>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</si>
  <si>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</si>
  <si>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</si>
  <si>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</si>
  <si>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</si>
  <si>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</si>
  <si>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</si>
  <si>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</si>
  <si>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</si>
  <si>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</si>
  <si>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</si>
  <si>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</si>
  <si>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</si>
  <si>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</si>
  <si>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</si>
  <si>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</si>
  <si>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</si>
  <si>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</si>
  <si>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</si>
  <si>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</si>
  <si>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</si>
  <si>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</si>
  <si>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</si>
  <si>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</si>
  <si>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</si>
  <si>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</si>
  <si>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</si>
  <si>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</si>
  <si>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</si>
  <si>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</si>
  <si>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</si>
  <si>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</si>
  <si>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</si>
  <si>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</si>
  <si>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</si>
  <si>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</si>
  <si>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</si>
  <si>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</si>
  <si>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</si>
  <si>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</si>
  <si>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</si>
  <si>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</si>
  <si>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</si>
  <si>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</si>
  <si>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</si>
  <si>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</si>
  <si>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</si>
  <si>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</si>
  <si>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</si>
  <si>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</si>
  <si>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</si>
  <si>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</si>
  <si>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</si>
  <si>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</si>
  <si>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</si>
  <si>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</si>
  <si>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</si>
  <si>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</si>
  <si>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</si>
  <si>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</si>
  <si>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</si>
  <si>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</si>
  <si>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</si>
  <si>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</si>
  <si>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</si>
  <si>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</si>
  <si>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</si>
  <si>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</si>
  <si>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</si>
  <si>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</si>
  <si>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</si>
  <si>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</si>
  <si>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</si>
  <si>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</si>
  <si>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</si>
  <si>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</si>
  <si>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</si>
  <si>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</si>
  <si>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</si>
  <si>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</si>
  <si>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</si>
  <si>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</si>
  <si>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</si>
  <si>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</si>
  <si>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</si>
  <si>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</si>
  <si>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</si>
  <si>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</si>
  <si>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</si>
  <si>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</si>
  <si>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</si>
  <si>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</si>
  <si>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</si>
  <si>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</si>
  <si>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</si>
  <si>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</si>
  <si>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</si>
  <si>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</si>
  <si>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</si>
  <si>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</si>
  <si>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</si>
  <si>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</si>
  <si>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</si>
  <si>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</si>
  <si>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</si>
  <si>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</si>
  <si>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</si>
  <si>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</si>
  <si>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</si>
  <si>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</si>
  <si>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</si>
  <si>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</si>
  <si>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</si>
  <si>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</si>
  <si>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</si>
  <si>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</si>
  <si>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</si>
  <si>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</si>
  <si>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</si>
  <si>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</si>
  <si>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</si>
  <si>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</si>
  <si>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</si>
  <si>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</si>
  <si>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</si>
  <si>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</si>
  <si>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</si>
  <si>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</si>
  <si>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</si>
  <si>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</si>
  <si>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</si>
  <si>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</si>
  <si>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</si>
  <si>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</si>
  <si>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</si>
  <si>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</si>
  <si>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</si>
  <si>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</si>
  <si>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</si>
  <si>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</si>
  <si>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</si>
  <si>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</si>
  <si>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</si>
  <si>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</si>
  <si>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</si>
  <si>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</si>
  <si>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</si>
  <si>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</si>
  <si>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</si>
  <si>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</si>
  <si>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</si>
  <si>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</si>
  <si>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</si>
  <si>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</si>
  <si>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</si>
  <si>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</si>
  <si>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</si>
  <si>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</si>
  <si>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</si>
  <si>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</si>
  <si>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</si>
  <si>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</si>
  <si>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</si>
  <si>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</si>
  <si>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</si>
  <si>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</si>
  <si>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</si>
  <si>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</si>
  <si>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</si>
  <si>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</si>
  <si>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</si>
  <si>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</si>
  <si>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</si>
  <si>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</si>
  <si>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</si>
  <si>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</si>
  <si>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</si>
  <si>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</si>
  <si>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</si>
  <si>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</si>
  <si>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</si>
  <si>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</si>
  <si>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</si>
  <si>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</si>
  <si>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</si>
  <si>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</si>
  <si>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</si>
  <si>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</si>
  <si>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</si>
  <si>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</si>
  <si>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</si>
  <si>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</si>
  <si>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</si>
  <si>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</si>
  <si>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</si>
  <si>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</si>
  <si>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</si>
  <si>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</si>
  <si>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</si>
  <si>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</si>
  <si>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</si>
  <si>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</si>
  <si>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</si>
  <si>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</si>
  <si>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</si>
  <si>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</si>
  <si>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</si>
  <si>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</si>
  <si>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</si>
  <si>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</si>
  <si>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</si>
  <si>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</si>
  <si>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</si>
  <si>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</si>
  <si>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</si>
  <si>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</si>
  <si>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</si>
  <si>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</si>
  <si>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</si>
  <si>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</si>
  <si>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</si>
  <si>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</si>
  <si>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</si>
  <si>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</si>
  <si>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</si>
  <si>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</si>
  <si>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</si>
  <si>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</si>
  <si>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</si>
  <si>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</si>
  <si>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</si>
  <si>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</si>
  <si>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</si>
  <si>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</si>
  <si>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</si>
  <si>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</si>
  <si>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</si>
  <si>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</si>
  <si>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</si>
  <si>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</si>
  <si>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</si>
  <si>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</si>
  <si>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D4b, D3p</t>
  </si>
  <si>
    <t>G1-3r</t>
  </si>
  <si>
    <t>H1-3p</t>
  </si>
  <si>
    <t>Viola sp.</t>
  </si>
  <si>
    <t>Cf. Lobelia sp.</t>
  </si>
  <si>
    <t>WWBW2022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</si>
</sst>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4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73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73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73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73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73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73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27" t="s">
        <v>41</v>
      </c>
      <c r="C114" s="128"/>
    </row>
    <row r="115" spans="1:3" x14ac:dyDescent="0.2">
      <c r="A115" s="74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5443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3976</v>
      </c>
      <c r="B12" s="44" t="str">
        <f>IF(LEN(VLOOKUP(A12,'Species List'!$A:$G,2,FALSE))=0,"",VLOOKUP(A12,'Species List'!$A:$G,2,FALSE))</f>
        <v>slender willow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08">
        <f t="shared" ref="N12:N77" si="2">L12/$L$153</f>
        <v>6.0606060606060608E-2</v>
      </c>
      <c r="O12" s="108">
        <f t="shared" ref="O12:O13" si="3">D12*N12</f>
        <v>0.30303030303030304</v>
      </c>
    </row>
    <row r="13" spans="1:15" x14ac:dyDescent="0.2">
      <c r="A13" s="122" t="s">
        <v>1464</v>
      </c>
      <c r="B13" s="44" t="str">
        <f>IF(LEN(VLOOKUP(A13,'Species List'!$A:$G,2,FALSE))=0,"",VLOOKUP(A13,'Species List'!$A:$G,2,FALSE))</f>
        <v>red-osier dogwood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[FACW]</v>
      </c>
      <c r="H13" s="44">
        <f>VLOOKUP(A13,'Species List'!$A:$G,7,FALSE)</f>
        <v>0</v>
      </c>
      <c r="J13" s="123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08">
        <f t="shared" si="2"/>
        <v>0.75757575757575757</v>
      </c>
      <c r="O13" s="108">
        <f t="shared" si="3"/>
        <v>2.2727272727272725</v>
      </c>
    </row>
    <row r="14" spans="1:15" x14ac:dyDescent="0.2">
      <c r="A14" s="122" t="s">
        <v>3643</v>
      </c>
      <c r="B14" s="44" t="str">
        <f>IF(LEN(VLOOKUP(A14,'Species List'!$A:$G,2,FALSE))=0,"",VLOOKUP(A14,'Species List'!$A:$G,2,FALSE))</f>
        <v>wild plum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6.0606060606060608E-2</v>
      </c>
      <c r="O14" s="85">
        <f>D14*N14</f>
        <v>0.18181818181818182</v>
      </c>
    </row>
    <row r="15" spans="1:15" x14ac:dyDescent="0.2">
      <c r="A15" s="122" t="s">
        <v>3755</v>
      </c>
      <c r="B15" s="44" t="str">
        <f>IF(LEN(VLOOKUP(A15,'Species List'!$A:$G,2,FALSE))=0,"",VLOOKUP(A15,'Species List'!$A:$G,2,FALSE))</f>
        <v>common buckthorn</v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6.0606060606060608E-2</v>
      </c>
      <c r="O15" s="98">
        <f t="shared" ref="O15:O78" si="6">D15*N15</f>
        <v>0</v>
      </c>
    </row>
    <row r="16" spans="1:15" x14ac:dyDescent="0.2">
      <c r="A16" s="122" t="s">
        <v>3951</v>
      </c>
      <c r="B16" s="44" t="str">
        <f>IF(LEN(VLOOKUP(A16,'Species List'!$A:$G,2,FALSE))=0,"",VLOOKUP(A16,'Species List'!$A:$G,2,FALSE))</f>
        <v>pussy willow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6.0606060606060608E-2</v>
      </c>
      <c r="O16" s="98">
        <f t="shared" si="6"/>
        <v>0.18181818181818182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49.5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5445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4219</v>
      </c>
      <c r="B12" s="44" t="str">
        <f>IF(LEN(VLOOKUP(A12,'Species List'!$A:$G,2,FALSE))=0,"",VLOOKUP(A12,'Species List'!$A:$G,2,FALSE))</f>
        <v>giant goldenrod</v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2.8846153846153848E-2</v>
      </c>
      <c r="O12" s="108">
        <f t="shared" ref="O12:O13" si="3">D12*N12</f>
        <v>8.6538461538461536E-2</v>
      </c>
    </row>
    <row r="13" spans="1:15" x14ac:dyDescent="0.2">
      <c r="A13" s="122" t="s">
        <v>4827</v>
      </c>
      <c r="B13" s="44" t="str">
        <f>IF(LEN(VLOOKUP(A13,'Species List'!$A:$G,2,FALSE))=0,"",VLOOKUP(A13,'Species List'!$A:$G,2,FALSE))</f>
        <v>golden alexanders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FAC+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2.8846153846153848E-2</v>
      </c>
      <c r="O13" s="108">
        <f t="shared" si="3"/>
        <v>0.17307692307692307</v>
      </c>
    </row>
    <row r="14" spans="1:15" x14ac:dyDescent="0.2">
      <c r="A14" s="122" t="s">
        <v>2236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FAC+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2.8846153846153848E-2</v>
      </c>
      <c r="O14" s="85">
        <f>D14*N14</f>
        <v>8.6538461538461536E-2</v>
      </c>
    </row>
    <row r="15" spans="1:15" x14ac:dyDescent="0.2">
      <c r="A15" s="122" t="s">
        <v>4414</v>
      </c>
      <c r="B15" s="44" t="str">
        <f>IF(LEN(VLOOKUP(A15,'Species List'!$A:$G,2,FALSE))=0,"",VLOOKUP(A15,'Species List'!$A:$G,2,FALSE))</f>
        <v>panicled aster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[FACW]</v>
      </c>
      <c r="H15" s="44">
        <f>VLOOKUP(A15,'Species List'!$A:$G,7,FALSE)</f>
        <v>0</v>
      </c>
      <c r="J15" s="123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0.14423076923076922</v>
      </c>
      <c r="O15" s="98">
        <f t="shared" ref="O15:O78" si="7">D15*N15</f>
        <v>0.72115384615384603</v>
      </c>
    </row>
    <row r="16" spans="1:15" x14ac:dyDescent="0.2">
      <c r="A16" s="122" t="s">
        <v>535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2.8846153846153848E-2</v>
      </c>
      <c r="O16" s="98">
        <f t="shared" si="7"/>
        <v>0.14423076923076925</v>
      </c>
    </row>
    <row r="17" spans="1:15" x14ac:dyDescent="0.2">
      <c r="A17" s="122" t="s">
        <v>1928</v>
      </c>
      <c r="B17" s="44" t="str">
        <f>IF(LEN(VLOOKUP(A17,'Species List'!$A:$G,2,FALSE))=0,"",VLOOKUP(A17,'Species List'!$A:$G,2,FALSE))</f>
        <v>field horsetail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3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100">
        <f t="shared" si="5"/>
        <v>37.5</v>
      </c>
      <c r="N17" s="98">
        <f t="shared" si="6"/>
        <v>0.36057692307692307</v>
      </c>
      <c r="O17" s="98">
        <f t="shared" si="7"/>
        <v>0.36057692307692307</v>
      </c>
    </row>
    <row r="18" spans="1:15" x14ac:dyDescent="0.2">
      <c r="A18" s="122" t="s">
        <v>3671</v>
      </c>
      <c r="B18" s="44" t="str">
        <f>IF(LEN(VLOOKUP(A18,'Species List'!$A:$G,2,FALSE))=0,"",VLOOKUP(A18,'Species List'!$A:$G,2,FALSE))</f>
        <v>Virginia mountain mint</v>
      </c>
      <c r="C18" s="44">
        <f>IF(LEN(VLOOKUP(A18,'Species List'!$A:$G,3,FALSE))=0,"",VLOOKUP(A18,'Species List'!$A:$G,3,FALSE))</f>
        <v>6</v>
      </c>
      <c r="D18" s="99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FACW+</v>
      </c>
      <c r="H18" s="44">
        <f>VLOOKUP(A18,'Species List'!$A:$G,7,FALSE)</f>
        <v>0</v>
      </c>
      <c r="J18" s="12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2.8846153846153848E-2</v>
      </c>
      <c r="O18" s="98">
        <f t="shared" si="7"/>
        <v>0.17307692307692307</v>
      </c>
    </row>
    <row r="19" spans="1:15" x14ac:dyDescent="0.2">
      <c r="A19" s="122" t="s">
        <v>4338</v>
      </c>
      <c r="B19" s="44" t="str">
        <f>IF(LEN(VLOOKUP(A19,'Species List'!$A:$G,2,FALSE))=0,"",VLOOKUP(A19,'Species List'!$A:$G,2,FALSE))</f>
        <v>woundwort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OBL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2.8846153846153848E-2</v>
      </c>
      <c r="O19" s="98">
        <f t="shared" si="7"/>
        <v>0.11538461538461539</v>
      </c>
    </row>
    <row r="20" spans="1:15" x14ac:dyDescent="0.2">
      <c r="A20" s="122" t="s">
        <v>3271</v>
      </c>
      <c r="B20" s="44" t="str">
        <f>IF(LEN(VLOOKUP(A20,'Species List'!$A:$G,2,FALSE))=0,"",VLOOKUP(A20,'Species List'!$A:$G,2,FALSE))</f>
        <v>arrow-leaved tearthumb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OBL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2.8846153846153848E-2</v>
      </c>
      <c r="O20" s="98">
        <f t="shared" si="7"/>
        <v>0.11538461538461539</v>
      </c>
    </row>
    <row r="21" spans="1:15" x14ac:dyDescent="0.2">
      <c r="A21" s="122" t="s">
        <v>186</v>
      </c>
      <c r="B21" s="44" t="str">
        <f>IF(LEN(VLOOKUP(A21,'Species List'!$A:$G,2,FALSE))=0,"",VLOOKUP(A21,'Species List'!$A:$G,2,FALSE))</f>
        <v>common yarrow</v>
      </c>
      <c r="C21" s="44">
        <f>IF(LEN(VLOOKUP(A21,'Species List'!$A:$G,3,FALSE))=0,"",VLOOKUP(A21,'Species List'!$A:$G,3,FALSE))</f>
        <v>1</v>
      </c>
      <c r="D21" s="99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2.8846153846153848E-2</v>
      </c>
      <c r="O21" s="98">
        <f t="shared" si="7"/>
        <v>2.8846153846153848E-2</v>
      </c>
    </row>
    <row r="22" spans="1:15" x14ac:dyDescent="0.2">
      <c r="A22" s="122" t="s">
        <v>2089</v>
      </c>
      <c r="B22" s="44" t="str">
        <f>IF(LEN(VLOOKUP(A22,'Species List'!$A:$G,2,FALSE))=0,"",VLOOKUP(A22,'Species List'!$A:$G,2,FALSE))</f>
        <v>spotted Joe pye weed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OBL</v>
      </c>
      <c r="H22" s="44">
        <f>VLOOKUP(A22,'Species List'!$A:$G,7,FALSE)</f>
        <v>0</v>
      </c>
      <c r="J22" s="123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2.8846153846153848E-2</v>
      </c>
      <c r="O22" s="98">
        <f t="shared" si="7"/>
        <v>0.11538461538461539</v>
      </c>
    </row>
    <row r="23" spans="1:15" x14ac:dyDescent="0.2">
      <c r="A23" s="122" t="s">
        <v>4210</v>
      </c>
      <c r="B23" s="44" t="str">
        <f>IF(LEN(VLOOKUP(A23,'Species List'!$A:$G,2,FALSE))=0,"",VLOOKUP(A23,'Species List'!$A:$G,2,FALSE))</f>
        <v>late goldenrod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2.8846153846153848E-2</v>
      </c>
      <c r="O23" s="98">
        <f t="shared" si="7"/>
        <v>2.8846153846153848E-2</v>
      </c>
    </row>
    <row r="24" spans="1:15" x14ac:dyDescent="0.2">
      <c r="A24" s="122" t="s">
        <v>3100</v>
      </c>
      <c r="B24" s="44" t="str">
        <f>IF(LEN(VLOOKUP(A24,'Species List'!$A:$G,2,FALSE))=0,"",VLOOKUP(A24,'Species List'!$A:$G,2,FALSE))</f>
        <v>sensitive fern</v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123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2.8846153846153848E-2</v>
      </c>
      <c r="O24" s="98">
        <f t="shared" si="7"/>
        <v>0.11538461538461539</v>
      </c>
    </row>
    <row r="25" spans="1:15" x14ac:dyDescent="0.2">
      <c r="A25" s="122" t="s">
        <v>2165</v>
      </c>
      <c r="B25" s="44" t="str">
        <f>IF(LEN(VLOOKUP(A25,'Species List'!$A:$G,2,FALSE))=0,"",VLOOKUP(A25,'Species List'!$A:$G,2,FALSE))</f>
        <v>rough bedstraw</v>
      </c>
      <c r="C25" s="44">
        <f>IF(LEN(VLOOKUP(A25,'Species List'!$A:$G,3,FALSE))=0,"",VLOOKUP(A25,'Species List'!$A:$G,3,FALSE))</f>
        <v>6</v>
      </c>
      <c r="D25" s="99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OBL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2.8846153846153848E-2</v>
      </c>
      <c r="O25" s="98">
        <f t="shared" si="7"/>
        <v>0.17307692307692307</v>
      </c>
    </row>
    <row r="26" spans="1:15" x14ac:dyDescent="0.2">
      <c r="A26" s="122" t="s">
        <v>5446</v>
      </c>
      <c r="B26" s="44" t="e">
        <f>IF(LEN(VLOOKUP(A26,'Species List'!$A:$G,2,FALSE))=0,"",VLOOKUP(A26,'Species List'!$A:$G,2,FALSE))</f>
        <v>#N/A</v>
      </c>
      <c r="C26" s="44">
        <v>4</v>
      </c>
      <c r="D26" s="99">
        <f t="shared" si="4"/>
        <v>4</v>
      </c>
      <c r="E26" s="44" t="s">
        <v>149</v>
      </c>
      <c r="F26" s="44" t="s">
        <v>147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2.8846153846153848E-2</v>
      </c>
      <c r="O26" s="98">
        <f t="shared" si="7"/>
        <v>0.11538461538461539</v>
      </c>
    </row>
    <row r="27" spans="1:15" x14ac:dyDescent="0.2">
      <c r="A27" s="122" t="s">
        <v>2946</v>
      </c>
      <c r="B27" s="44" t="str">
        <f>IF(LEN(VLOOKUP(A27,'Species List'!$A:$G,2,FALSE))=0,"",VLOOKUP(A27,'Species List'!$A:$G,2,FALSE))</f>
        <v>wild bergamot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2.8846153846153848E-2</v>
      </c>
      <c r="O27" s="98">
        <f t="shared" si="7"/>
        <v>8.6538461538461536E-2</v>
      </c>
    </row>
    <row r="28" spans="1:15" x14ac:dyDescent="0.2">
      <c r="A28" s="122" t="s">
        <v>5447</v>
      </c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2.8846153846153848E-2</v>
      </c>
      <c r="O28" s="98" t="e">
        <f t="shared" si="7"/>
        <v>#N/A</v>
      </c>
    </row>
    <row r="29" spans="1:15" x14ac:dyDescent="0.2">
      <c r="A29" s="122" t="s">
        <v>1315</v>
      </c>
      <c r="B29" s="44" t="str">
        <f>IF(LEN(VLOOKUP(A29,'Species List'!$A:$G,2,FALSE))=0,"",VLOOKUP(A29,'Species List'!$A:$G,2,FALSE))</f>
        <v>white turtlehead</v>
      </c>
      <c r="C29" s="44">
        <f>IF(LEN(VLOOKUP(A29,'Species List'!$A:$G,3,FALSE))=0,"",VLOOKUP(A29,'Species List'!$A:$G,3,FALSE))</f>
        <v>7</v>
      </c>
      <c r="D29" s="99">
        <f t="shared" si="4"/>
        <v>7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OBL</v>
      </c>
      <c r="H29" s="44">
        <f>VLOOKUP(A29,'Species List'!$A:$G,7,FALSE)</f>
        <v>0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2.8846153846153848E-2</v>
      </c>
      <c r="O29" s="98">
        <f t="shared" si="7"/>
        <v>0.20192307692307693</v>
      </c>
    </row>
    <row r="30" spans="1:15" x14ac:dyDescent="0.2">
      <c r="A30" s="122" t="s">
        <v>2327</v>
      </c>
      <c r="B30" s="44" t="str">
        <f>IF(LEN(VLOOKUP(A30,'Species List'!$A:$G,2,FALSE))=0,"",VLOOKUP(A30,'Species List'!$A:$G,2,FALSE))</f>
        <v>sawtooth sunflower</v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2.8846153846153848E-2</v>
      </c>
      <c r="O30" s="98">
        <f t="shared" si="7"/>
        <v>8.6538461538461536E-2</v>
      </c>
    </row>
    <row r="31" spans="1:15" x14ac:dyDescent="0.2">
      <c r="A31" s="122" t="s">
        <v>3224</v>
      </c>
      <c r="B31" s="44" t="str">
        <f>IF(LEN(VLOOKUP(A31,'Species List'!$A:$G,2,FALSE))=0,"",VLOOKUP(A31,'Species List'!$A:$G,2,FALSE))</f>
        <v>swamp lousewort</v>
      </c>
      <c r="C31" s="44">
        <f>IF(LEN(VLOOKUP(A31,'Species List'!$A:$G,3,FALSE))=0,"",VLOOKUP(A31,'Species List'!$A:$G,3,FALSE))</f>
        <v>8</v>
      </c>
      <c r="D31" s="99">
        <f t="shared" si="4"/>
        <v>8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FACW+</v>
      </c>
      <c r="H31" s="44">
        <f>VLOOKUP(A31,'Species List'!$A:$G,7,FALSE)</f>
        <v>0</v>
      </c>
      <c r="J31" s="123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4.807692307692308E-3</v>
      </c>
      <c r="O31" s="98">
        <f t="shared" si="7"/>
        <v>3.8461538461538464E-2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6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6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104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5444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252</v>
      </c>
      <c r="B12" s="44" t="str">
        <f>IF(LEN(VLOOKUP(A12,'Species List'!$A:$G,2,FALSE))=0,"",VLOOKUP(A12,'Species List'!$A:$G,2,FALSE))</f>
        <v>redtop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[FACW]</v>
      </c>
      <c r="H12" s="44">
        <f>VLOOKUP(A12,'Species List'!$A:$G,7,FALSE)</f>
        <v>0</v>
      </c>
      <c r="J12" s="12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6.6666666666666666E-2</v>
      </c>
      <c r="O12" s="108">
        <f t="shared" ref="O12:O78" si="3">D12*N12</f>
        <v>0</v>
      </c>
    </row>
    <row r="13" spans="1:15" x14ac:dyDescent="0.2">
      <c r="A13" s="122" t="s">
        <v>781</v>
      </c>
      <c r="B13" s="44" t="str">
        <f>IF(LEN(VLOOKUP(A13,'Species List'!$A:$G,2,FALSE))=0,"",VLOOKUP(A13,'Species List'!$A:$G,2,FALSE))</f>
        <v>fringed brome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[FACW]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0.33333333333333331</v>
      </c>
      <c r="O13" s="108">
        <f t="shared" si="3"/>
        <v>2</v>
      </c>
    </row>
    <row r="14" spans="1:15" x14ac:dyDescent="0.2">
      <c r="A14" s="122" t="s">
        <v>4062</v>
      </c>
      <c r="B14" s="44" t="str">
        <f>IF(LEN(VLOOKUP(A14,'Species List'!$A:$G,2,FALSE))=0,"",VLOOKUP(A14,'Species List'!$A:$G,2,FALSE))</f>
        <v>dark green bulrush</v>
      </c>
      <c r="C14" s="44">
        <f>IF(LEN(VLOOKUP(A14,'Species List'!$A:$G,3,FALSE))=0,"",VLOOKUP(A14,'Species List'!$A:$G,3,FALSE))</f>
        <v>4</v>
      </c>
      <c r="D14" s="99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6.6666666666666666E-2</v>
      </c>
      <c r="O14" s="107">
        <f t="shared" si="3"/>
        <v>0.26666666666666666</v>
      </c>
    </row>
    <row r="15" spans="1:15" x14ac:dyDescent="0.2">
      <c r="A15" s="122" t="s">
        <v>2547</v>
      </c>
      <c r="B15" s="44" t="str">
        <f>IF(LEN(VLOOKUP(A15,'Species List'!$A:$G,2,FALSE))=0,"",VLOOKUP(A15,'Species List'!$A:$G,2,FALSE))</f>
        <v>path rush</v>
      </c>
      <c r="C15" s="44">
        <f>IF(LEN(VLOOKUP(A15,'Species List'!$A:$G,3,FALSE))=0,"",VLOOKUP(A15,'Species List'!$A:$G,3,FALSE))</f>
        <v>1</v>
      </c>
      <c r="D15" s="99">
        <f t="shared" si="0"/>
        <v>1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6.6666666666666666E-2</v>
      </c>
      <c r="O15" s="98">
        <f t="shared" si="3"/>
        <v>6.6666666666666666E-2</v>
      </c>
    </row>
    <row r="16" spans="1:15" x14ac:dyDescent="0.2">
      <c r="A16" s="122" t="s">
        <v>1164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2</v>
      </c>
      <c r="D16" s="99">
        <f t="shared" si="0"/>
        <v>2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6.6666666666666666E-2</v>
      </c>
      <c r="O16" s="98">
        <f t="shared" si="3"/>
        <v>0.13333333333333333</v>
      </c>
    </row>
    <row r="17" spans="1:15" x14ac:dyDescent="0.2">
      <c r="A17" s="122" t="s">
        <v>1882</v>
      </c>
      <c r="B17" s="44" t="str">
        <f>IF(LEN(VLOOKUP(A17,'Species List'!$A:$G,2,FALSE))=0,"",VLOOKUP(A17,'Species List'!$A:$G,2,FALSE))</f>
        <v>quackgrass</v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6.6666666666666666E-2</v>
      </c>
      <c r="O17" s="98">
        <f t="shared" si="3"/>
        <v>0</v>
      </c>
    </row>
    <row r="18" spans="1:15" x14ac:dyDescent="0.2">
      <c r="A18" s="122" t="s">
        <v>3443</v>
      </c>
      <c r="B18" s="44" t="str">
        <f>IF(LEN(VLOOKUP(A18,'Species List'!$A:$G,2,FALSE))=0,"",VLOOKUP(A18,'Species List'!$A:$G,2,FALSE))</f>
        <v>Kentucky bluegrass</v>
      </c>
      <c r="C18" s="44">
        <f>IF(LEN(VLOOKUP(A18,'Species List'!$A:$G,3,FALSE))=0,"",VLOOKUP(A18,'Species List'!$A:$G,3,FALSE))</f>
        <v>0</v>
      </c>
      <c r="D18" s="99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6.6666666666666666E-2</v>
      </c>
      <c r="O18" s="98">
        <f t="shared" si="3"/>
        <v>0</v>
      </c>
    </row>
    <row r="19" spans="1:15" x14ac:dyDescent="0.2">
      <c r="A19" s="122" t="s">
        <v>3288</v>
      </c>
      <c r="B19" s="44" t="str">
        <f>IF(LEN(VLOOKUP(A19,'Species List'!$A:$G,2,FALSE))=0,"",VLOOKUP(A19,'Species List'!$A:$G,2,FALSE))</f>
        <v>reed canary grass</v>
      </c>
      <c r="C19" s="44">
        <f>IF(LEN(VLOOKUP(A19,'Species List'!$A:$G,3,FALSE))=0,"",VLOOKUP(A19,'Species List'!$A:$G,3,FALSE))</f>
        <v>0</v>
      </c>
      <c r="D19" s="99">
        <f t="shared" si="0"/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FACW+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6.6666666666666666E-2</v>
      </c>
      <c r="O19" s="98">
        <f t="shared" si="3"/>
        <v>0</v>
      </c>
    </row>
    <row r="20" spans="1:15" x14ac:dyDescent="0.2">
      <c r="A20" s="122" t="s">
        <v>968</v>
      </c>
      <c r="B20" s="44" t="str">
        <f>IF(LEN(VLOOKUP(A20,'Species List'!$A:$G,2,FALSE))=0,"",VLOOKUP(A20,'Species List'!$A:$G,2,FALSE))</f>
        <v>crested sedge</v>
      </c>
      <c r="C20" s="44">
        <f>IF(LEN(VLOOKUP(A20,'Species List'!$A:$G,3,FALSE))=0,"",VLOOKUP(A20,'Species List'!$A:$G,3,FALSE))</f>
        <v>3</v>
      </c>
      <c r="D20" s="99">
        <f t="shared" si="0"/>
        <v>3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FACW+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1"/>
        <v>3</v>
      </c>
      <c r="N20" s="98">
        <f t="shared" si="2"/>
        <v>6.6666666666666666E-2</v>
      </c>
      <c r="O20" s="98">
        <f t="shared" si="3"/>
        <v>0.2</v>
      </c>
    </row>
    <row r="21" spans="1:15" x14ac:dyDescent="0.2">
      <c r="A21" s="122" t="s">
        <v>1119</v>
      </c>
      <c r="B21" s="44" t="str">
        <f>IF(LEN(VLOOKUP(A21,'Species List'!$A:$G,2,FALSE))=0,"",VLOOKUP(A21,'Species List'!$A:$G,2,FALSE))</f>
        <v>woolly sedge</v>
      </c>
      <c r="C21" s="44">
        <f>IF(LEN(VLOOKUP(A21,'Species List'!$A:$G,3,FALSE))=0,"",VLOOKUP(A21,'Species List'!$A:$G,3,FALSE))</f>
        <v>4</v>
      </c>
      <c r="D21" s="99">
        <f t="shared" ref="D21:D78" si="4">VALUE(C21)</f>
        <v>4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[OBL]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1"/>
        <v>3</v>
      </c>
      <c r="N21" s="98">
        <f t="shared" si="2"/>
        <v>6.6666666666666666E-2</v>
      </c>
      <c r="O21" s="98">
        <f t="shared" si="3"/>
        <v>0.26666666666666666</v>
      </c>
    </row>
    <row r="22" spans="1:15" x14ac:dyDescent="0.2">
      <c r="A22" s="122" t="s">
        <v>1015</v>
      </c>
      <c r="B22" s="44" t="str">
        <f>IF(LEN(VLOOKUP(A22,'Species List'!$A:$G,2,FALSE))=0,"",VLOOKUP(A22,'Species List'!$A:$G,2,FALSE))</f>
        <v>granular sedge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G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FACW+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1"/>
        <v>3</v>
      </c>
      <c r="N22" s="98">
        <f t="shared" si="2"/>
        <v>6.6666666666666666E-2</v>
      </c>
      <c r="O22" s="98">
        <f t="shared" si="3"/>
        <v>0.2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45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4</v>
      </c>
      <c r="C4" s="102">
        <f>COUNTIF(Forbs!$F$12:$F$150,"Native")</f>
        <v>19</v>
      </c>
      <c r="D4" s="102">
        <f>COUNTIF(Grasses!$F$12:$F$151,"Native")</f>
        <v>7</v>
      </c>
      <c r="E4" s="102">
        <f>AVERAGE(B4:D4)</f>
        <v>10</v>
      </c>
      <c r="F4" s="102">
        <f>SUM(B4:D4)</f>
        <v>30</v>
      </c>
    </row>
    <row r="5" spans="1:6" ht="18" x14ac:dyDescent="0.25">
      <c r="A5" s="53" t="s">
        <v>4842</v>
      </c>
      <c r="B5" s="102">
        <f>COUNTIF(Woody!$F12:$F201,"Introduced")</f>
        <v>1</v>
      </c>
      <c r="C5" s="102">
        <f>COUNTIF(Forbs!$F12:$F201,"Introduced")</f>
        <v>0</v>
      </c>
      <c r="D5" s="102">
        <f>COUNTIF(Grasses!$F12:$F201,"Introduced")</f>
        <v>4</v>
      </c>
      <c r="E5" s="102">
        <f t="shared" ref="E5:E6" si="0">AVERAGE(B5:D5)</f>
        <v>1.6666666666666667</v>
      </c>
      <c r="F5" s="102">
        <f>SUM(B5:D5)</f>
        <v>5</v>
      </c>
    </row>
    <row r="6" spans="1:6" s="81" customFormat="1" ht="21" x14ac:dyDescent="0.35">
      <c r="A6" s="53" t="s">
        <v>5411</v>
      </c>
      <c r="B6" s="102">
        <f>SUM(B4:B5)</f>
        <v>5</v>
      </c>
      <c r="C6" s="102">
        <f>SUM(C4:C5)</f>
        <v>19</v>
      </c>
      <c r="D6" s="102">
        <f>SUM(D4:D5)</f>
        <v>11</v>
      </c>
      <c r="E6" s="102">
        <f t="shared" si="0"/>
        <v>11.666666666666666</v>
      </c>
      <c r="F6" s="102">
        <f>SUM(B6:D6)</f>
        <v>35</v>
      </c>
    </row>
    <row r="7" spans="1:6" ht="18" x14ac:dyDescent="0.25">
      <c r="A7" s="53" t="s">
        <v>4843</v>
      </c>
      <c r="B7" s="102">
        <f>AVERAGEIF(Woody!D12:D152,"&gt;0")</f>
        <v>3.5</v>
      </c>
      <c r="C7" s="102">
        <f>AVERAGEIF(Forbs!D12:D152,"&gt;0")</f>
        <v>4.1052631578947372</v>
      </c>
      <c r="D7" s="102">
        <f>AVERAGEIF(Grasses!D12:D152,"&gt;0")</f>
        <v>3.2857142857142856</v>
      </c>
      <c r="E7" s="102">
        <f>AVERAGE(B7:D7)</f>
        <v>3.6303258145363411</v>
      </c>
      <c r="F7" s="102">
        <f>(SUMIF(Woody!D12:D152,"&gt;0")+SUMIF(Forbs!D12:D152,"&gt;0")+SUMIF(Grasses!D12:D152,"&gt;0"))/(COUNTIF(Woody!D12:D152,"&gt;0")+COUNTIF(Forbs!D12:D152,"&gt;0")+COUNTIF(Grasses!D12:D152,"&gt;0"))</f>
        <v>3.8333333333333335</v>
      </c>
    </row>
    <row r="8" spans="1:6" s="31" customFormat="1" ht="21" x14ac:dyDescent="0.35">
      <c r="A8" s="53" t="s">
        <v>5412</v>
      </c>
      <c r="B8" s="102">
        <f>AVERAGEIF(Woody!D12:D152,"&gt;=0")</f>
        <v>2.8</v>
      </c>
      <c r="C8" s="102">
        <f>AVERAGEIF(Forbs!D12:D152,"&gt;=0")</f>
        <v>4.1052631578947372</v>
      </c>
      <c r="D8" s="102">
        <f>AVERAGEIF(Grasses!D12:D152,"&gt;=0")</f>
        <v>2.0909090909090908</v>
      </c>
      <c r="E8" s="102">
        <f>AVERAGE(B8:D8)</f>
        <v>2.9987240829346091</v>
      </c>
      <c r="F8" s="102">
        <f>(SUMIF(Woody!D12:D152,"&gt;=0")+SUMIF(Forbs!D12:D152,"&gt;=0")+SUMIF(Grasses!D12:D152,"&gt;=0"))/(COUNTIF(Woody!D12:D152,"&gt;=0")+COUNTIF(Forbs!D12:D152,"&gt;=0")+COUNTIF(Grasses!D12:D152,"&gt;=0"))</f>
        <v>3.2857142857142856</v>
      </c>
    </row>
    <row r="9" spans="1:6" ht="18" x14ac:dyDescent="0.25">
      <c r="A9" s="53" t="s">
        <v>4836</v>
      </c>
      <c r="B9" s="102">
        <f>SQRT(B4)*B7</f>
        <v>7</v>
      </c>
      <c r="C9" s="102">
        <f>SQRT(C4)*C7</f>
        <v>17.89442724190382</v>
      </c>
      <c r="D9" s="102">
        <f>SQRT(D4)*D7</f>
        <v>8.6931828792122268</v>
      </c>
      <c r="E9" s="102">
        <f>SQRT(E4)*E7</f>
        <v>11.480098222440848</v>
      </c>
      <c r="F9" s="102">
        <f>SQRT(F4)*F7</f>
        <v>20.996031371031368</v>
      </c>
    </row>
    <row r="10" spans="1:6" s="82" customFormat="1" ht="21" x14ac:dyDescent="0.35">
      <c r="A10" s="53" t="s">
        <v>5413</v>
      </c>
      <c r="B10" s="102">
        <f>SQRT(B6)*B8</f>
        <v>6.2609903369994111</v>
      </c>
      <c r="C10" s="102">
        <f>SQRT(C6)*C8</f>
        <v>17.89442724190382</v>
      </c>
      <c r="D10" s="102">
        <f>SQRT(D6)*D8</f>
        <v>6.9347609252885629</v>
      </c>
      <c r="E10" s="102">
        <f>SQRT(E6)*E8</f>
        <v>10.242592679509428</v>
      </c>
      <c r="F10" s="102">
        <f>SQRT(F6)*F8</f>
        <v>19.438547858755882</v>
      </c>
    </row>
    <row r="11" spans="1:6" ht="18" x14ac:dyDescent="0.25">
      <c r="A11" s="53" t="s">
        <v>4844</v>
      </c>
      <c r="B11" s="102">
        <f>SUMIF(Woody!$M$12:$M$152,"&gt;=0")</f>
        <v>49.5</v>
      </c>
      <c r="C11" s="102">
        <f>SUMIF(Forbs!$M$12:$M$153,"&gt;=0")</f>
        <v>104</v>
      </c>
      <c r="D11" s="102">
        <f>SUMIF(Grasses!$M$12:$M$152,"&gt;=0")</f>
        <v>45</v>
      </c>
      <c r="E11" s="102">
        <f>AVERAGE(B11:D11)</f>
        <v>66.166666666666671</v>
      </c>
      <c r="F11" s="102">
        <f>SUM(B11:D11)</f>
        <v>198.5</v>
      </c>
    </row>
    <row r="12" spans="1:6" ht="18" x14ac:dyDescent="0.25">
      <c r="A12" s="53" t="s">
        <v>5377</v>
      </c>
      <c r="B12" s="102">
        <f>SUMIF(Woody!$F$12:$F$152,"Introduced",Woody!$L$12:$L$152)</f>
        <v>3</v>
      </c>
      <c r="C12" s="102">
        <f>SUMIF(Forbs!$F$12:$F$153,"Introduced",Forbs!$L$12:$L$153)</f>
        <v>0</v>
      </c>
      <c r="D12" s="102">
        <f>SUMIF(Grasses!$F$12:$F$152,"Introduced",Grasses!$L$12:$L$152)</f>
        <v>12</v>
      </c>
      <c r="E12" s="102">
        <f>AVERAGE(B12:D12)</f>
        <v>5</v>
      </c>
      <c r="F12" s="102">
        <f>SUM(B12:D12)</f>
        <v>15</v>
      </c>
    </row>
    <row r="13" spans="1:6" ht="18.75" thickBot="1" x14ac:dyDescent="0.3">
      <c r="A13" s="54" t="s">
        <v>4845</v>
      </c>
      <c r="B13" s="103">
        <f>B12/B11</f>
        <v>6.0606060606060608E-2</v>
      </c>
      <c r="C13" s="103">
        <f>C12/C11</f>
        <v>0</v>
      </c>
      <c r="D13" s="103">
        <f>D12/D11</f>
        <v>0.26666666666666666</v>
      </c>
      <c r="E13" s="103">
        <f>E12/E11</f>
        <v>7.5566750629722915E-2</v>
      </c>
      <c r="F13" s="103">
        <f>F12/F11</f>
        <v>7.5566750629722929E-2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2.939393939393939</v>
      </c>
      <c r="C15" s="101">
        <f>SUMIF(Forbs!$O$12:$O$152,"&gt;=0")</f>
        <v>2.9663461538461537</v>
      </c>
      <c r="D15" s="101">
        <f>SUMIF(Grasses!$O$12:$O$152,"&gt;=0")</f>
        <v>3.1333333333333337</v>
      </c>
      <c r="E15" s="101">
        <f>AVERAGE(B15:D15)</f>
        <v>3.0130244755244759</v>
      </c>
      <c r="F15" s="102">
        <f>SUM(B15:D15)</f>
        <v>9.0390734265734274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2023-01-27T17:50:40Z</dcterms:modified>
</cp:coreProperties>
</file>