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EA878799-8639-411C-A480-AD386FFBBA26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D27" i="10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<sst xmlns="http://schemas.openxmlformats.org/spreadsheetml/2006/main" count="13140" uniqueCount="5452">
  <si>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</si>
  <si>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</si>
  <si>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</si>
  <si>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</si>
  <si>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</si>
  <si>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</si>
  <si>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</si>
  <si>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</si>
  <si>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</si>
  <si>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</si>
  <si>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</si>
  <si>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</si>
  <si>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</si>
  <si>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</si>
  <si>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</si>
  <si>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</si>
  <si>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</si>
  <si>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</si>
  <si>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</si>
  <si>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</si>
  <si>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</si>
  <si>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</si>
  <si>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</si>
  <si>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</si>
  <si>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</si>
  <si>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</si>
  <si>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</si>
  <si>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</si>
  <si>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</si>
  <si>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</si>
  <si>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</si>
  <si>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</si>
  <si>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</si>
  <si>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</si>
  <si>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</si>
  <si>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</si>
  <si>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</si>
  <si>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</si>
  <si>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</si>
  <si>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</si>
  <si>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</si>
  <si>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</si>
  <si>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</si>
  <si>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</si>
  <si>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</si>
  <si>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</si>
  <si>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</si>
  <si>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</si>
  <si>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</si>
  <si>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</si>
  <si>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</si>
  <si>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</si>
  <si>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</si>
  <si>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</si>
  <si>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</si>
  <si>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</si>
  <si>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</si>
  <si>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</si>
  <si>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</si>
  <si>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</si>
  <si>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</si>
  <si>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</si>
  <si>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</si>
  <si>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</si>
  <si>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</si>
  <si>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</si>
  <si>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</si>
  <si>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</si>
  <si>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</si>
  <si>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</si>
  <si>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</si>
  <si>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</si>
  <si>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</si>
  <si>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</si>
  <si>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</si>
  <si>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</si>
  <si>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</si>
  <si>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</si>
  <si>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</si>
  <si>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</si>
  <si>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</si>
  <si>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</si>
  <si>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</si>
  <si>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</si>
  <si>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</si>
  <si>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</si>
  <si>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</si>
  <si>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</si>
  <si>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</si>
  <si>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</si>
  <si>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</si>
  <si>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</si>
  <si>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</si>
  <si>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</si>
  <si>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</si>
  <si>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</si>
  <si>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</si>
  <si>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</si>
  <si>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</si>
  <si>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</si>
  <si>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</si>
  <si>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</si>
  <si>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</si>
  <si>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</si>
  <si>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</si>
  <si>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</si>
  <si>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</si>
  <si>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</si>
  <si>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</si>
  <si>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</si>
  <si>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</si>
  <si>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</si>
  <si>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</si>
  <si>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</si>
  <si>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</si>
  <si>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</si>
  <si>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</si>
  <si>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</si>
  <si>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</si>
  <si>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</si>
  <si>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</si>
  <si>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</si>
  <si>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</si>
  <si>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</si>
  <si>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</si>
  <si>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</si>
  <si>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</si>
  <si>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</si>
  <si>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</si>
  <si>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</si>
  <si>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</si>
  <si>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</si>
  <si>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</si>
  <si>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</si>
  <si>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</si>
  <si>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</si>
  <si>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</si>
  <si>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</si>
  <si>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</si>
  <si>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</si>
  <si>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</si>
  <si>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</si>
  <si>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</si>
  <si>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</si>
  <si>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</si>
  <si>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</si>
  <si>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</si>
  <si>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</si>
  <si>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</si>
  <si>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</si>
  <si>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</si>
  <si>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</si>
  <si>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</si>
  <si>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</si>
  <si>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</si>
  <si>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</si>
  <si>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</si>
  <si>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</si>
  <si>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</si>
  <si>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</si>
  <si>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</si>
  <si>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</si>
  <si>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</si>
  <si>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</si>
  <si>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</si>
  <si>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</si>
  <si>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</si>
  <si>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</si>
  <si>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</si>
  <si>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</si>
  <si>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</si>
  <si>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</si>
  <si>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</si>
  <si>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</si>
  <si>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</si>
  <si>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</si>
  <si>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</si>
  <si>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</si>
  <si>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</si>
  <si>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</si>
  <si>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</si>
  <si>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</si>
  <si>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</si>
  <si>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</si>
  <si>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</si>
  <si>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</si>
  <si>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</si>
  <si>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</si>
  <si>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</si>
  <si>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</si>
  <si>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</si>
  <si>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</si>
  <si>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</si>
  <si>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</si>
  <si>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</si>
  <si>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</si>
  <si>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</si>
  <si>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</si>
  <si>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</si>
  <si>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</si>
  <si>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</si>
  <si>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</si>
  <si>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</si>
  <si>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</si>
  <si>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</si>
  <si>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</si>
  <si>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</si>
  <si>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</si>
  <si>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</si>
  <si>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</si>
  <si>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</si>
  <si>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</si>
  <si>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</si>
  <si>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</si>
  <si>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</si>
  <si>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</si>
  <si>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</si>
  <si>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</si>
  <si>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</si>
  <si>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</si>
  <si>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</si>
  <si>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</si>
  <si>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</si>
  <si>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</si>
  <si>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</si>
  <si>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</si>
  <si>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</si>
  <si>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</si>
  <si>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</si>
  <si>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</si>
  <si>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</si>
  <si>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</si>
  <si>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</si>
  <si>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</si>
  <si>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</si>
  <si>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</si>
  <si>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</si>
  <si>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</si>
  <si>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</si>
  <si>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</si>
  <si>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</si>
  <si>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</si>
  <si>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</si>
  <si>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</si>
  <si>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</si>
  <si>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</si>
  <si>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</si>
  <si>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</si>
  <si>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</si>
  <si>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</si>
  <si>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</si>
  <si>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</si>
  <si>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</si>
  <si>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</si>
  <si>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</si>
  <si>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</si>
  <si>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</si>
  <si>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</si>
  <si>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</si>
  <si>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</si>
  <si>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</si>
  <si>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</si>
  <si>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</si>
  <si>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</si>
  <si>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</si>
  <si>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</si>
  <si>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</si>
  <si>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</si>
  <si>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</si>
  <si>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</si>
  <si>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</si>
  <si>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</si>
  <si>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</si>
  <si>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</si>
  <si>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</si>
  <si>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</si>
  <si>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</si>
  <si>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</si>
  <si>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</si>
  <si>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</si>
  <si>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</si>
  <si>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</si>
  <si>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</si>
  <si>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</si>
  <si>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</si>
  <si>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</si>
  <si>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</si>
  <si>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</si>
  <si>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</si>
  <si>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</si>
  <si>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</si>
  <si>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</si>
  <si>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</si>
  <si>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</si>
  <si>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</si>
  <si>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</si>
  <si>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</si>
  <si>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</si>
  <si>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</si>
  <si>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</si>
  <si>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</si>
  <si>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</si>
  <si>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</si>
  <si>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</si>
  <si>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</si>
  <si>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</si>
  <si>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</si>
  <si>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</si>
  <si>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</si>
  <si>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</si>
  <si>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</si>
  <si>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</si>
  <si>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</si>
  <si>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</si>
  <si>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</si>
  <si>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</si>
  <si>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</si>
  <si>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</si>
  <si>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</si>
  <si>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</si>
  <si>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</si>
  <si>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</si>
  <si>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</si>
  <si>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</si>
  <si>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</si>
  <si>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</si>
  <si>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</si>
  <si>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</si>
  <si>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</si>
  <si>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</si>
  <si>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</si>
  <si>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</si>
  <si>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</si>
  <si>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</si>
  <si>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</si>
  <si>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</si>
  <si>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</si>
  <si>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</si>
  <si>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</si>
  <si>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</si>
  <si>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</si>
  <si>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</si>
  <si>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</si>
  <si>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</si>
  <si>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</si>
  <si>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</si>
  <si>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</si>
  <si>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</si>
  <si>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</si>
  <si>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</si>
  <si>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</si>
  <si>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</si>
  <si>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</si>
  <si>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</si>
  <si>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</si>
  <si>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</si>
  <si>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</si>
  <si>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</si>
  <si>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</si>
  <si>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</si>
  <si>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</si>
  <si>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</si>
  <si>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</si>
  <si>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</si>
  <si>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</si>
  <si>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</si>
  <si>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</si>
  <si>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</si>
  <si>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</si>
  <si>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</si>
  <si>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</si>
  <si>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</si>
  <si>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</si>
  <si>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</si>
  <si>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</si>
  <si>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</si>
  <si>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</si>
  <si>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</si>
  <si>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</si>
  <si>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</si>
  <si>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</si>
  <si>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</si>
  <si>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</si>
  <si>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</si>
  <si>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</si>
  <si>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</si>
  <si>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</si>
  <si>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</si>
  <si>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</si>
  <si>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</si>
  <si>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</si>
  <si>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</si>
  <si>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</si>
  <si>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</si>
  <si>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</si>
  <si>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</si>
  <si>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</si>
  <si>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</si>
  <si>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</si>
  <si>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</si>
  <si>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</si>
  <si>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</si>
  <si>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</si>
  <si>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</si>
  <si>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</si>
  <si>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</si>
  <si>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</si>
  <si>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</si>
  <si>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</si>
  <si>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</si>
  <si>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</si>
  <si>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</si>
  <si>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</si>
  <si>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</si>
  <si>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</si>
  <si>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</si>
  <si>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</si>
  <si>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</si>
  <si>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</si>
  <si>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</si>
  <si>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</si>
  <si>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</si>
  <si>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</si>
  <si>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</si>
  <si>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</si>
  <si>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</si>
  <si>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</si>
  <si>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</si>
  <si>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</si>
  <si>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</si>
  <si>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</si>
  <si>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</si>
  <si>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</si>
  <si>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</si>
  <si>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</si>
  <si>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</si>
  <si>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</si>
  <si>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</si>
  <si>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</si>
  <si>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</si>
  <si>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</si>
  <si>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</si>
  <si>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</si>
  <si>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</si>
  <si>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</si>
  <si>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</si>
  <si>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</si>
  <si>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</si>
  <si>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</si>
  <si>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</si>
  <si>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</si>
  <si>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</si>
  <si>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</si>
  <si>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</si>
  <si>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</si>
  <si>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</si>
  <si>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</si>
  <si>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</si>
  <si>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</si>
  <si>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</si>
  <si>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</si>
  <si>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</si>
  <si>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</si>
  <si>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</si>
  <si>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</si>
  <si>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</si>
  <si>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</si>
  <si>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</si>
  <si>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</si>
  <si>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</si>
  <si>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</si>
  <si>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</si>
  <si>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</si>
  <si>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</si>
  <si>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</si>
  <si>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</si>
  <si>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</si>
  <si>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</si>
  <si>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</si>
  <si>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</si>
  <si>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</si>
  <si>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</si>
  <si>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</si>
  <si>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</si>
  <si>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</si>
  <si>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</si>
  <si>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</si>
  <si>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</si>
  <si>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</si>
  <si>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</si>
  <si>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</si>
  <si>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</si>
  <si>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</si>
  <si>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</si>
  <si>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</si>
  <si>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</si>
  <si>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</si>
  <si>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</si>
  <si>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</si>
  <si>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</si>
  <si>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</si>
  <si>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</si>
  <si>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</si>
  <si>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</si>
  <si>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</si>
  <si>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</si>
  <si>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</si>
  <si>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</si>
  <si>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</si>
  <si>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</si>
  <si>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</si>
  <si>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</si>
  <si>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</si>
  <si>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</si>
  <si>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</si>
  <si>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</si>
  <si>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</si>
  <si>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</si>
  <si>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</si>
  <si>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</si>
  <si>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</si>
  <si>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</si>
  <si>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</si>
  <si>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</si>
  <si>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</si>
  <si>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</si>
  <si>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</si>
  <si>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</si>
  <si>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</si>
  <si>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</si>
  <si>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</si>
  <si>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</si>
  <si>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</si>
  <si>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</si>
  <si>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</si>
  <si>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</si>
  <si>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</si>
  <si>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</si>
  <si>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</si>
  <si>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</si>
  <si>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</si>
  <si>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</si>
  <si>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</si>
  <si>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</si>
  <si>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</si>
  <si>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</si>
  <si>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</si>
  <si>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</si>
  <si>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</si>
  <si>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</si>
  <si>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</si>
  <si>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</si>
  <si>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</si>
  <si>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</si>
  <si>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</si>
  <si>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</si>
  <si>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</si>
  <si>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</si>
  <si>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</si>
  <si>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</si>
  <si>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</si>
  <si>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</si>
  <si>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</si>
  <si>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</si>
  <si>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</si>
  <si>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</si>
  <si>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</si>
  <si>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</si>
  <si>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</si>
  <si>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</si>
  <si>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</si>
  <si>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</si>
  <si>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</si>
  <si>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</si>
  <si>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</si>
  <si>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</si>
  <si>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</si>
  <si>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</si>
  <si>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</si>
  <si>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</si>
  <si>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</si>
  <si>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</si>
  <si>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</si>
  <si>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</si>
  <si>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</si>
  <si>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</si>
  <si>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</si>
  <si>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</si>
  <si>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</si>
  <si>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</si>
  <si>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</si>
  <si>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</si>
  <si>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</si>
  <si>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</si>
  <si>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</si>
  <si>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</si>
  <si>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</si>
  <si>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</si>
  <si>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</si>
  <si>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</si>
  <si>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</si>
  <si>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</si>
  <si>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</si>
  <si>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</si>
  <si>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</si>
  <si>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</si>
  <si>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</si>
  <si>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</si>
  <si>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</si>
  <si>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</si>
  <si>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</si>
  <si>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</si>
  <si>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</si>
  <si>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</si>
  <si>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</si>
  <si>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</si>
  <si>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</si>
  <si>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</si>
  <si>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</si>
  <si>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</si>
  <si>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</si>
  <si>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</si>
  <si>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</si>
  <si>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</si>
  <si>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</si>
  <si>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</si>
  <si>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</si>
  <si>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</si>
  <si>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</si>
  <si>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</si>
  <si>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</si>
  <si>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</si>
  <si>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</si>
  <si>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</si>
  <si>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</si>
  <si>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</si>
  <si>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</si>
  <si>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</si>
  <si>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</si>
  <si>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</si>
  <si>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</si>
  <si>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</si>
  <si>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</si>
  <si>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</si>
  <si>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</si>
  <si>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</si>
  <si>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</si>
  <si>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</si>
  <si>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</si>
  <si>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</si>
  <si>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</si>
  <si>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</si>
  <si>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</si>
  <si>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</si>
  <si>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</si>
  <si>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</si>
  <si>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</si>
  <si>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</si>
  <si>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</si>
  <si>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</si>
  <si>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</si>
  <si>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</si>
  <si>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</si>
  <si>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</si>
  <si>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</si>
  <si>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</si>
  <si>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</si>
  <si>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</si>
  <si>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</si>
  <si>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</si>
  <si>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</si>
  <si>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</si>
  <si>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</si>
  <si>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</si>
  <si>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</si>
  <si>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</si>
  <si>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</si>
  <si>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</si>
  <si>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</si>
  <si>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</si>
  <si>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</si>
  <si>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</si>
  <si>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</si>
  <si>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</si>
  <si>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</si>
  <si>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</si>
  <si>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</si>
  <si>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</si>
  <si>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</si>
  <si>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</si>
  <si>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</si>
  <si>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</si>
  <si>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</si>
  <si>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</si>
  <si>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</si>
  <si>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</si>
  <si>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</si>
  <si>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</si>
  <si>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</si>
  <si>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</si>
  <si>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</si>
  <si>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</si>
  <si>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</si>
  <si>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</si>
  <si>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</si>
  <si>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</si>
  <si>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</si>
  <si>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</si>
  <si>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</si>
  <si>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</si>
  <si>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</si>
  <si>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</si>
  <si>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</si>
  <si>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</si>
  <si>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</si>
  <si>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</si>
  <si>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</si>
  <si>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</si>
  <si>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</si>
  <si>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</si>
  <si>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</si>
  <si>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</si>
  <si>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</si>
  <si>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</si>
  <si>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</si>
  <si>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</si>
  <si>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</si>
  <si>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</si>
  <si>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</si>
  <si>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</si>
  <si>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</si>
  <si>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</si>
  <si>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</si>
  <si>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</si>
  <si>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</si>
  <si>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</si>
  <si>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</si>
  <si>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</si>
  <si>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</si>
  <si>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</si>
  <si>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</si>
  <si>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</si>
  <si>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</si>
  <si>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</si>
  <si>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</si>
  <si>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</si>
  <si>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</si>
  <si>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</si>
  <si>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</si>
  <si>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</si>
  <si>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</si>
  <si>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</si>
  <si>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</si>
  <si>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</si>
  <si>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</si>
  <si>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</si>
  <si>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</si>
  <si>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</si>
  <si>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</si>
  <si>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</si>
  <si>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</si>
  <si>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</si>
  <si>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</si>
  <si>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</si>
  <si>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</si>
  <si>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</si>
  <si>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</si>
  <si>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</si>
  <si>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</si>
  <si>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</si>
  <si>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</si>
  <si>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</si>
  <si>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</si>
  <si>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</si>
  <si>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</si>
  <si>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</si>
  <si>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</si>
  <si>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</si>
  <si>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</si>
  <si>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</si>
  <si>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</si>
  <si>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</si>
  <si>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</si>
  <si>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</si>
  <si>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</si>
  <si>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</si>
  <si>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</si>
  <si>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</si>
  <si>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</si>
  <si>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</si>
  <si>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</si>
  <si>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</si>
  <si>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</si>
  <si>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</si>
  <si>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</si>
  <si>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</si>
  <si>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</si>
  <si>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</si>
  <si>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</si>
  <si>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</si>
  <si>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</si>
  <si>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</si>
  <si>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</si>
  <si>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</si>
  <si>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</si>
  <si>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</si>
  <si>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</si>
  <si>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</si>
  <si>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</si>
  <si>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</si>
  <si>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</si>
  <si>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</si>
  <si>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</si>
  <si>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</si>
  <si>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</si>
  <si>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</si>
  <si>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</si>
  <si>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</si>
  <si>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</si>
  <si>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</si>
  <si>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</si>
  <si>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</si>
  <si>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</si>
  <si>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</si>
  <si>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</si>
  <si>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</si>
  <si>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</si>
  <si>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</si>
  <si>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</si>
  <si>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</si>
  <si>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</si>
  <si>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</si>
  <si>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</si>
  <si>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</si>
  <si>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</si>
  <si>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</si>
  <si>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</si>
  <si>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</si>
  <si>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</si>
  <si>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</si>
  <si>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</si>
  <si>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</si>
  <si>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</si>
  <si>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</si>
  <si>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</si>
  <si>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</si>
  <si>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</si>
  <si>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</si>
  <si>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</si>
  <si>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</si>
  <si>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</si>
  <si>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</si>
  <si>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</si>
  <si>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</si>
  <si>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</si>
  <si>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</si>
  <si>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</si>
  <si>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</si>
  <si>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</si>
  <si>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</si>
  <si>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</si>
  <si>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</si>
  <si>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</si>
  <si>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</si>
  <si>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</si>
  <si>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</si>
  <si>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</si>
  <si>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</si>
  <si>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</si>
  <si>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</si>
  <si>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</si>
  <si>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</si>
  <si>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</si>
  <si>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</si>
  <si>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</si>
  <si>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</si>
  <si>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</si>
  <si>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</si>
  <si>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</si>
  <si>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</si>
  <si>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</si>
  <si>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</si>
  <si>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</si>
  <si>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</si>
  <si>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</si>
  <si>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</si>
  <si>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</si>
  <si>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</si>
  <si>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</si>
  <si>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</si>
  <si>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</si>
  <si>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</si>
  <si>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</si>
  <si>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</si>
  <si>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</si>
  <si>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</si>
  <si>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</si>
  <si>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</si>
  <si>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</si>
  <si>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</si>
  <si>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</si>
  <si>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</si>
  <si>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</si>
  <si>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</si>
  <si>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</si>
  <si>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</si>
  <si>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</si>
  <si>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</si>
  <si>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</si>
  <si>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</si>
  <si>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</si>
  <si>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</si>
  <si>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</si>
  <si>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</si>
  <si>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</si>
  <si>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</si>
  <si>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</si>
  <si>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</si>
  <si>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</si>
  <si>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</si>
  <si>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</si>
  <si>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</si>
  <si>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</si>
  <si>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</si>
  <si>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</si>
  <si>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</si>
  <si>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</si>
  <si>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</si>
  <si>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</si>
  <si>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</si>
  <si>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</si>
  <si>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</si>
  <si>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</si>
  <si>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</si>
  <si>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</si>
  <si>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</si>
  <si>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</si>
  <si>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</si>
  <si>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</si>
  <si>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</si>
  <si>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</si>
  <si>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</si>
  <si>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</si>
  <si>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</si>
  <si>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</si>
  <si>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</si>
  <si>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</si>
  <si>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</si>
  <si>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</si>
  <si>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</si>
  <si>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</si>
  <si>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</si>
  <si>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</si>
  <si>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</si>
  <si>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</si>
  <si>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</si>
  <si>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</si>
  <si>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</si>
  <si>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</si>
  <si>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</si>
  <si>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</si>
  <si>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</si>
  <si>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</si>
  <si>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</si>
  <si>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</si>
  <si>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</si>
  <si>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</si>
  <si>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</si>
  <si>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</si>
  <si>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</si>
  <si>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</si>
  <si>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</si>
  <si>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</si>
  <si>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</si>
  <si>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</si>
  <si>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</si>
  <si>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</si>
  <si>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</si>
  <si>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</si>
  <si>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</si>
  <si>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</si>
  <si>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</si>
  <si>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</si>
  <si>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</si>
  <si>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</si>
  <si>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</si>
  <si>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</si>
  <si>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</si>
  <si>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</si>
  <si>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</si>
  <si>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</si>
  <si>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</si>
  <si>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</si>
  <si>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</si>
  <si>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</si>
  <si>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</si>
  <si>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</si>
  <si>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</si>
  <si>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</si>
  <si>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</si>
  <si>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</si>
  <si>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</si>
  <si>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</si>
  <si>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</si>
  <si>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</si>
  <si>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</si>
  <si>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</si>
  <si>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</si>
  <si>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</si>
  <si>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</si>
  <si>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</si>
  <si>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</si>
  <si>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</si>
  <si>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</si>
  <si>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</si>
  <si>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</si>
  <si>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</si>
  <si>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</si>
  <si>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</si>
  <si>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</si>
  <si>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</si>
  <si>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</si>
  <si>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</si>
  <si>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</si>
  <si>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</si>
  <si>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</si>
  <si>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</si>
  <si>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</si>
  <si>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</si>
  <si>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</si>
  <si>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</si>
  <si>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</si>
  <si>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</si>
  <si>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</si>
  <si>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</si>
  <si>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</si>
  <si>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</si>
  <si>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</si>
  <si>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</si>
  <si>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</si>
  <si>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</si>
  <si>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</si>
  <si>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</si>
  <si>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</si>
  <si>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</si>
  <si>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</si>
  <si>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</si>
  <si>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</si>
  <si>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</si>
  <si>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</si>
  <si>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</si>
  <si>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</si>
  <si>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</si>
  <si>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</si>
  <si>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</si>
  <si>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</si>
  <si>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</si>
  <si>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</si>
  <si>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</si>
  <si>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</si>
  <si>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</si>
  <si>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</si>
  <si>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</si>
  <si>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</si>
  <si>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</si>
  <si>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</si>
  <si>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</si>
  <si>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</si>
  <si>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</si>
  <si>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</si>
  <si>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</si>
  <si>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</si>
  <si>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</si>
  <si>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</si>
  <si>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</si>
  <si>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</si>
  <si>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</si>
  <si>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</si>
  <si>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</si>
  <si>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</si>
  <si>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</si>
  <si>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</si>
  <si>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</si>
  <si>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</si>
  <si>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</si>
  <si>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</si>
  <si>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</si>
  <si>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</si>
  <si>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</si>
  <si>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</si>
  <si>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</si>
  <si>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</si>
  <si>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</si>
  <si>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</si>
  <si>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</si>
  <si>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</si>
  <si>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</si>
  <si>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</si>
  <si>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</si>
  <si>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</si>
  <si>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</si>
  <si>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</si>
  <si>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</si>
  <si>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</si>
  <si>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</si>
  <si>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</si>
  <si>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</si>
  <si>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</si>
  <si>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</si>
  <si>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</si>
  <si>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</si>
  <si>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</si>
  <si>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</si>
  <si>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</si>
  <si>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</si>
  <si>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</si>
  <si>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</si>
  <si>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</si>
  <si>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</si>
  <si>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</si>
  <si>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</si>
  <si>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</si>
  <si>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</si>
  <si>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</si>
  <si>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</si>
  <si>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</si>
  <si>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</si>
  <si>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</si>
  <si>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</si>
  <si>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</si>
  <si>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</si>
  <si>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</si>
  <si>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</si>
  <si>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</si>
  <si>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</si>
  <si>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</si>
  <si>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</si>
  <si>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</si>
  <si>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</si>
  <si>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</si>
  <si>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</si>
  <si>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</si>
  <si>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</si>
  <si>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</si>
  <si>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</si>
  <si>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</si>
  <si>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</si>
  <si>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</si>
  <si>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</si>
  <si>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</si>
  <si>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</si>
  <si>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</si>
  <si>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</si>
  <si>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</si>
  <si>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</si>
  <si>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</si>
  <si>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</si>
  <si>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</si>
  <si>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</si>
  <si>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</si>
  <si>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</si>
  <si>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</si>
  <si>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</si>
  <si>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</si>
  <si>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</si>
  <si>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</si>
  <si>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</si>
  <si>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</si>
  <si>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</si>
  <si>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</si>
  <si>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</si>
  <si>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</si>
  <si>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</si>
  <si>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</si>
  <si>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</si>
  <si>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</si>
  <si>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</si>
  <si>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</si>
  <si>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</si>
  <si>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</si>
  <si>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</si>
  <si>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</si>
  <si>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</si>
  <si>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</si>
  <si>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</si>
  <si>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</si>
  <si>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</si>
  <si>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</si>
  <si>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</si>
  <si>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</si>
  <si>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</si>
  <si>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</si>
  <si>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</si>
  <si>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</si>
  <si>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</si>
  <si>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</si>
  <si>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</si>
  <si>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</si>
  <si>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</si>
  <si>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</si>
  <si>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</si>
  <si>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</si>
  <si>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</si>
  <si>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</si>
  <si>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</si>
  <si>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</si>
  <si>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</si>
  <si>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</si>
  <si>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</si>
  <si>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</si>
  <si>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</si>
  <si>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</si>
  <si>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</si>
  <si>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</si>
  <si>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</si>
  <si>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</si>
  <si>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</si>
  <si>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</si>
  <si>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</si>
  <si>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</si>
  <si>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</si>
  <si>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</si>
  <si>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</si>
  <si>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</si>
  <si>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</si>
  <si>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</si>
  <si>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</si>
  <si>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</si>
  <si>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</si>
  <si>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</si>
  <si>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</si>
  <si>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</si>
  <si>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</si>
  <si>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</si>
  <si>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</si>
  <si>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</si>
  <si>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</si>
  <si>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</si>
  <si>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</si>
  <si>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</si>
  <si>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</si>
  <si>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</si>
  <si>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</si>
  <si>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</si>
  <si>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</si>
  <si>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</si>
  <si>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</si>
  <si>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</si>
  <si>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</si>
  <si>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</si>
  <si>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</si>
  <si>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</si>
  <si>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</si>
  <si>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</si>
  <si>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</si>
  <si>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</si>
  <si>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</si>
  <si>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</si>
  <si>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</si>
  <si>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</si>
  <si>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</si>
  <si>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</si>
  <si>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</si>
  <si>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</si>
  <si>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</si>
  <si>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</si>
  <si>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</si>
  <si>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</si>
  <si>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</si>
  <si>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</si>
  <si>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</si>
  <si>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</si>
  <si>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</si>
  <si>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</si>
  <si>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</si>
  <si>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</si>
  <si>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</si>
  <si>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</si>
  <si>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</si>
  <si>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</si>
  <si>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</si>
  <si>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</si>
  <si>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</si>
  <si>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</si>
  <si>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</si>
  <si>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</si>
  <si>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</si>
  <si>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</si>
  <si>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</si>
  <si>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</si>
  <si>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</si>
  <si>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</si>
  <si>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</si>
  <si>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</si>
  <si>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</si>
  <si>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</si>
  <si>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</si>
  <si>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</si>
  <si>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</si>
  <si>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</si>
  <si>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</si>
  <si>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</si>
  <si>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</si>
  <si>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</si>
  <si>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</si>
  <si>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</si>
  <si>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</si>
  <si>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</si>
  <si>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</si>
  <si>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</si>
  <si>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</si>
  <si>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</si>
  <si>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</si>
  <si>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</si>
  <si>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</si>
  <si>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</si>
  <si>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</si>
  <si>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</si>
  <si>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</si>
  <si>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</si>
  <si>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</si>
  <si>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</si>
  <si>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</si>
  <si>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</si>
  <si>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</si>
  <si>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</si>
  <si>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</si>
  <si>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</si>
  <si>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</si>
  <si>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</si>
  <si>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</si>
  <si>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</si>
  <si>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</si>
  <si>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</si>
  <si>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</si>
  <si>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</si>
  <si>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</si>
  <si>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</si>
  <si>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</si>
  <si>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</si>
  <si>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</si>
  <si>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</si>
  <si>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</si>
  <si>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</si>
  <si>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</si>
  <si>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</si>
  <si>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</si>
  <si>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</si>
  <si>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</si>
  <si>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</si>
  <si>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</si>
  <si>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</si>
  <si>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</si>
  <si>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</si>
  <si>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</si>
  <si>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</si>
  <si>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</si>
  <si>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</si>
  <si>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</si>
  <si>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</si>
  <si>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</si>
  <si>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</si>
  <si>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</si>
  <si>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</si>
  <si>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</si>
  <si>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</si>
  <si>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</si>
  <si>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</si>
  <si>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</si>
  <si>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</si>
  <si>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</si>
  <si>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</si>
  <si>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</si>
  <si>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</si>
  <si>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</si>
  <si>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</si>
  <si>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</si>
  <si>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</si>
  <si>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</si>
  <si>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</si>
  <si>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</si>
  <si>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</si>
  <si>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</si>
  <si>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</si>
  <si>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</si>
  <si>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</si>
  <si>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</si>
  <si>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</si>
  <si>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</si>
  <si>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</si>
  <si>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</si>
  <si>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</si>
  <si>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</si>
  <si>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</si>
  <si>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</si>
  <si>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</si>
  <si>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</si>
  <si>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</si>
  <si>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</si>
  <si>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</si>
  <si>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</si>
  <si>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</si>
  <si>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</si>
  <si>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</si>
  <si>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</si>
  <si>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</si>
  <si>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</si>
  <si>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</si>
  <si>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</si>
  <si>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</si>
  <si>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</si>
  <si>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</si>
  <si>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</si>
  <si>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</si>
  <si>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</si>
  <si>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</si>
  <si>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</si>
  <si>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</si>
  <si>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</si>
  <si>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</si>
  <si>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</si>
  <si>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</si>
  <si>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</si>
  <si>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</si>
  <si>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</si>
  <si>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</si>
  <si>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</si>
  <si>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</si>
  <si>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</si>
  <si>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</si>
  <si>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</si>
  <si>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</si>
  <si>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</si>
  <si>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</si>
  <si>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</si>
  <si>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</si>
  <si>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</si>
  <si>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</si>
  <si>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</si>
  <si>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</si>
  <si>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</si>
  <si>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</si>
  <si>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</si>
  <si>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</si>
  <si>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</si>
  <si>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</si>
  <si>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</si>
  <si>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</si>
  <si>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</si>
  <si>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</si>
  <si>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</si>
  <si>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</si>
  <si>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</si>
  <si>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</si>
  <si>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</si>
  <si>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</si>
  <si>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</si>
  <si>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</si>
  <si>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</si>
  <si>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</si>
  <si>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</si>
  <si>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</si>
  <si>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</si>
  <si>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</si>
  <si>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</si>
  <si>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</si>
  <si>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</si>
  <si>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</si>
  <si>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</si>
  <si>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</si>
  <si>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</si>
  <si>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</si>
  <si>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</si>
  <si>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</si>
  <si>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</si>
  <si>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</si>
  <si>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</si>
  <si>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</si>
  <si>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</si>
  <si>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</si>
  <si>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</si>
  <si>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</si>
  <si>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</si>
  <si>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</si>
  <si>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</si>
  <si>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</si>
  <si>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</si>
  <si>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</si>
  <si>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</si>
  <si>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</si>
  <si>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</si>
  <si>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</si>
  <si>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</si>
  <si>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</si>
  <si>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</si>
  <si>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</si>
  <si>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</si>
  <si>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</si>
  <si>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</si>
  <si>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</si>
  <si>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</si>
  <si>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</si>
  <si>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</si>
  <si>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</si>
  <si>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</si>
  <si>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</si>
  <si>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</si>
  <si>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</si>
  <si>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</si>
  <si>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</si>
  <si>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</si>
  <si>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</si>
  <si>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</si>
  <si>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</si>
  <si>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</si>
  <si>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</si>
  <si>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</si>
  <si>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</si>
  <si>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</si>
  <si>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</si>
  <si>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</si>
  <si>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</si>
  <si>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</si>
  <si>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</si>
  <si>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</si>
  <si>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</si>
  <si>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</si>
  <si>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</si>
  <si>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</si>
  <si>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</si>
  <si>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</si>
  <si>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</si>
  <si>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</si>
  <si>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</si>
  <si>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</si>
  <si>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</si>
  <si>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</si>
  <si>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</si>
  <si>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</si>
  <si>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</si>
  <si>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</si>
  <si>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</si>
  <si>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</si>
  <si>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</si>
  <si>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</si>
  <si>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</si>
  <si>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</si>
  <si>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</si>
  <si>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</si>
  <si>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</si>
  <si>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</si>
  <si>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</si>
  <si>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</si>
  <si>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</si>
  <si>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</si>
  <si>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</si>
  <si>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</si>
  <si>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</si>
  <si>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</si>
  <si>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</si>
  <si>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</si>
  <si>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</si>
  <si>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</si>
  <si>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</si>
  <si>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</si>
  <si>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</si>
  <si>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</si>
  <si>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</si>
  <si>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</si>
  <si>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</si>
  <si>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</si>
  <si>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</si>
  <si>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</si>
  <si>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</si>
  <si>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</si>
  <si>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</si>
  <si>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</si>
  <si>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</si>
  <si>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</si>
  <si>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</si>
  <si>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</si>
  <si>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</si>
  <si>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</si>
  <si>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</si>
  <si>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</si>
  <si>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</si>
  <si>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</si>
  <si>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</si>
  <si>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</si>
  <si>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</si>
  <si>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</si>
  <si>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</si>
  <si>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</si>
  <si>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</si>
  <si>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</si>
  <si>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</si>
  <si>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</si>
  <si>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</si>
  <si>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</si>
  <si>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</si>
  <si>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</si>
  <si>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</si>
  <si>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</si>
  <si>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</si>
  <si>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</si>
  <si>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</si>
  <si>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</si>
  <si>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</si>
  <si>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</si>
  <si>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</si>
  <si>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</si>
  <si>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</si>
  <si>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</si>
  <si>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</si>
  <si>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</si>
  <si>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</si>
  <si>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</si>
  <si>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</si>
  <si>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</si>
  <si>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</si>
  <si>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</si>
  <si>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</si>
  <si>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</si>
  <si>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</si>
  <si>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</si>
  <si>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</si>
  <si>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</si>
  <si>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</si>
  <si>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</si>
  <si>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</si>
  <si>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</si>
  <si>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</si>
  <si>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</si>
  <si>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</si>
  <si>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</si>
  <si>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</si>
  <si>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</si>
  <si>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</si>
  <si>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</si>
  <si>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</si>
  <si>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</si>
  <si>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</si>
  <si>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</si>
  <si>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</si>
  <si>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</si>
  <si>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</si>
  <si>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</si>
  <si>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</si>
  <si>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</si>
  <si>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</si>
  <si>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</si>
  <si>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</si>
  <si>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</si>
  <si>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</si>
  <si>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</si>
  <si>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</si>
  <si>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</si>
  <si>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</si>
  <si>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</si>
  <si>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</si>
  <si>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</si>
  <si>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</si>
  <si>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</si>
  <si>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</si>
  <si>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</si>
  <si>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</si>
  <si>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</si>
  <si>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</si>
  <si>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</si>
  <si>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</si>
  <si>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</si>
  <si>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</si>
  <si>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</si>
  <si>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</si>
  <si>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</si>
  <si>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</si>
  <si>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</si>
  <si>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</si>
  <si>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</si>
  <si>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</si>
  <si>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</si>
  <si>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</si>
  <si>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</si>
  <si>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</si>
  <si>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</si>
  <si>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</si>
  <si>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</si>
  <si>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</si>
  <si>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</si>
  <si>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</si>
  <si>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</si>
  <si>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</si>
  <si>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</si>
  <si>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</si>
  <si>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</si>
  <si>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</si>
  <si>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</si>
  <si>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</si>
  <si>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</si>
  <si>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</si>
  <si>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</si>
  <si>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</si>
  <si>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</si>
  <si>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</si>
  <si>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</si>
  <si>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</si>
  <si>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</si>
  <si>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</si>
  <si>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</si>
  <si>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</si>
  <si>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</si>
  <si>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</si>
  <si>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</si>
  <si>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</si>
  <si>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</si>
  <si>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</si>
  <si>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</si>
  <si>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</si>
  <si>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</si>
  <si>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</si>
  <si>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</si>
  <si>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</si>
  <si>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</si>
  <si>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</si>
  <si>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</si>
  <si>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</si>
  <si>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</si>
  <si>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</si>
  <si>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</si>
  <si>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</si>
  <si>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</si>
  <si>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</si>
  <si>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</si>
  <si>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</si>
  <si>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</si>
  <si>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</si>
  <si>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</si>
  <si>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</si>
  <si>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</si>
  <si>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</si>
  <si>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</si>
  <si>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</si>
  <si>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</si>
  <si>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</si>
  <si>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</si>
  <si>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</si>
  <si>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</si>
  <si>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</si>
  <si>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</si>
  <si>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</si>
  <si>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</si>
  <si>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</si>
  <si>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</si>
  <si>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</si>
  <si>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</si>
  <si>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</si>
  <si>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</si>
  <si>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</si>
  <si>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</si>
  <si>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</si>
  <si>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</si>
  <si>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</si>
  <si>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</si>
  <si>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</si>
  <si>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</si>
  <si>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</si>
  <si>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</si>
  <si>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</si>
  <si>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</si>
  <si>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</si>
  <si>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</si>
  <si>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</si>
  <si>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</si>
  <si>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</si>
  <si>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</si>
  <si>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</si>
  <si>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</si>
  <si>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</si>
  <si>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</si>
  <si>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</si>
  <si>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</si>
  <si>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</si>
  <si>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</si>
  <si>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</si>
  <si>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</si>
  <si>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</si>
  <si>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</si>
  <si>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</si>
  <si>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</si>
  <si>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</si>
  <si>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</si>
  <si>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</si>
  <si>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</si>
  <si>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</si>
  <si>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</si>
  <si>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</si>
  <si>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</si>
  <si>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</si>
  <si>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</si>
  <si>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</si>
  <si>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</si>
  <si>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</si>
  <si>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</si>
  <si>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</si>
  <si>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</si>
  <si>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</si>
  <si>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</si>
  <si>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</si>
  <si>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</si>
  <si>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</si>
  <si>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</si>
  <si>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</si>
  <si>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</si>
  <si>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</si>
  <si>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</si>
  <si>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</si>
  <si>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</si>
  <si>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</si>
  <si>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</si>
  <si>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</si>
  <si>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</si>
  <si>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</si>
  <si>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</si>
  <si>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</si>
  <si>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</si>
  <si>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</si>
  <si>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</si>
  <si>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</si>
  <si>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</si>
  <si>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</si>
  <si>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</si>
  <si>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</si>
  <si>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</si>
  <si>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</si>
  <si>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</si>
  <si>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</si>
  <si>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</si>
  <si>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</si>
  <si>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</si>
  <si>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</si>
  <si>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</si>
  <si>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</si>
  <si>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</si>
  <si>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</si>
  <si>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</si>
  <si>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</si>
  <si>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</si>
  <si>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</si>
  <si>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</si>
  <si>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</si>
  <si>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</si>
  <si>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</si>
  <si>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</si>
  <si>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</si>
  <si>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</si>
  <si>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</si>
  <si>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</si>
  <si>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</si>
  <si>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</si>
  <si>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</si>
  <si>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</si>
  <si>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</si>
  <si>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</si>
  <si>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</si>
  <si>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</si>
  <si>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</si>
  <si>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</si>
  <si>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</si>
  <si>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</si>
  <si>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</si>
  <si>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</si>
  <si>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</si>
  <si>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</si>
  <si>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</si>
  <si>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</si>
  <si>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</si>
  <si>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</si>
  <si>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</si>
  <si>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</si>
  <si>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</si>
  <si>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</si>
  <si>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</si>
  <si>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</si>
  <si>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</si>
  <si>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</si>
  <si>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</si>
  <si>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</si>
  <si>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</si>
  <si>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</si>
  <si>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</si>
  <si>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</si>
  <si>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</si>
  <si>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</si>
  <si>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</si>
  <si>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</si>
  <si>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</si>
  <si>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</si>
  <si>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</si>
  <si>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</si>
  <si>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</si>
  <si>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</si>
  <si>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</si>
  <si>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</si>
  <si>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</si>
  <si>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</si>
  <si>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</si>
  <si>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</si>
  <si>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</si>
  <si>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</si>
  <si>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</si>
  <si>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</si>
  <si>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</si>
  <si>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</si>
  <si>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</si>
  <si>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</si>
  <si>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</si>
  <si>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</si>
  <si>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</si>
  <si>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</si>
  <si>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</si>
  <si>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</si>
  <si>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</si>
  <si>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</si>
  <si>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</si>
  <si>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</si>
  <si>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</si>
  <si>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</si>
  <si>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</si>
  <si>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</si>
  <si>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</si>
  <si>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</si>
  <si>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</si>
  <si>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</si>
  <si>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</si>
  <si>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</si>
  <si>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</si>
  <si>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</si>
  <si>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</si>
  <si>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</si>
  <si>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</si>
  <si>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</si>
  <si>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</si>
  <si>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</si>
  <si>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</si>
  <si>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</si>
  <si>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</si>
  <si>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</si>
  <si>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</si>
  <si>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</si>
  <si>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</si>
  <si>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</si>
  <si>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</si>
  <si>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</si>
  <si>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</si>
  <si>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</si>
  <si>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</si>
  <si>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</si>
  <si>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</si>
  <si>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</si>
  <si>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</si>
  <si>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</si>
  <si>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</si>
  <si>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</si>
  <si>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</si>
  <si>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</si>
  <si>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</si>
  <si>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</si>
  <si>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</si>
  <si>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</si>
  <si>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</si>
  <si>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</si>
  <si>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</si>
  <si>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</si>
  <si>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</si>
  <si>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</si>
  <si>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</si>
  <si>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</si>
  <si>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</si>
  <si>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</si>
  <si>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</si>
  <si>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</si>
  <si>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</si>
  <si>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</si>
  <si>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</si>
  <si>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</si>
  <si>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</si>
  <si>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</si>
  <si>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</si>
  <si>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</si>
  <si>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</si>
  <si>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</si>
  <si>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</si>
  <si>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</si>
  <si>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</si>
  <si>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</si>
  <si>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</si>
  <si>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</si>
  <si>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</si>
  <si>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</si>
  <si>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</si>
  <si>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</si>
  <si>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</si>
  <si>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</si>
  <si>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</si>
  <si>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</si>
  <si>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</si>
  <si>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</si>
  <si>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</si>
  <si>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</si>
  <si>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</si>
  <si>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</si>
  <si>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</si>
  <si>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</si>
  <si>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</si>
  <si>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</si>
  <si>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</si>
  <si>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</si>
  <si>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</si>
  <si>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</si>
  <si>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</si>
  <si>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</si>
  <si>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</si>
  <si>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</si>
  <si>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</si>
  <si>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</si>
  <si>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</si>
  <si>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</si>
  <si>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</si>
  <si>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</si>
  <si>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</si>
  <si>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</si>
  <si>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</si>
  <si>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</si>
  <si>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</si>
  <si>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</si>
  <si>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</si>
  <si>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</si>
  <si>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</si>
  <si>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</si>
  <si>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</si>
  <si>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</si>
  <si>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</si>
  <si>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</si>
  <si>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</si>
  <si>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</si>
  <si>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</si>
  <si>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</si>
  <si>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</si>
  <si>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</si>
  <si>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</si>
  <si>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</si>
  <si>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</si>
  <si>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</si>
  <si>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</si>
  <si>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</si>
  <si>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</si>
  <si>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</si>
  <si>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</si>
  <si>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</si>
  <si>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</si>
  <si>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</si>
  <si>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</si>
  <si>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</si>
  <si>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</si>
  <si>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</si>
  <si>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</si>
  <si>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</si>
  <si>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</si>
  <si>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</si>
  <si>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</si>
  <si>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</si>
  <si>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</si>
  <si>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</si>
  <si>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</si>
  <si>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</si>
  <si>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</si>
  <si>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</si>
  <si>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</si>
  <si>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</si>
  <si>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</si>
  <si>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</si>
  <si>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</si>
  <si>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</si>
  <si>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</si>
  <si>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</si>
  <si>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</si>
  <si>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</si>
  <si>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</si>
  <si>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</si>
  <si>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</si>
  <si>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</si>
  <si>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</si>
  <si>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</si>
  <si>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</si>
  <si>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</si>
  <si>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</si>
  <si>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</si>
  <si>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</si>
  <si>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</si>
  <si>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</si>
  <si>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</si>
  <si>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</si>
  <si>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</si>
  <si>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</si>
  <si>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</si>
  <si>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</si>
  <si>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</si>
  <si>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</si>
  <si>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</si>
  <si>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</si>
  <si>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</si>
  <si>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</si>
  <si>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</si>
  <si>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</si>
  <si>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</si>
  <si>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</si>
  <si>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</si>
  <si>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</si>
  <si>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</si>
  <si>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</si>
  <si>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</si>
  <si>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</si>
  <si>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</si>
  <si>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</si>
  <si>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</si>
  <si>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</si>
  <si>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</si>
  <si>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</si>
  <si>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</si>
  <si>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</si>
  <si>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</si>
  <si>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</si>
  <si>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</si>
  <si>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</si>
  <si>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</si>
  <si>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</si>
  <si>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</si>
  <si>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</si>
  <si>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</si>
  <si>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</si>
  <si>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</si>
  <si>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</si>
  <si>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</si>
  <si>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</si>
  <si>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</si>
  <si>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</si>
  <si>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</si>
  <si>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</si>
  <si>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</si>
  <si>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</si>
  <si>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</si>
  <si>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</si>
  <si>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</si>
  <si>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</si>
  <si>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</si>
  <si>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</si>
  <si>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</si>
  <si>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</si>
  <si>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</si>
  <si>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</si>
  <si>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</si>
  <si>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</si>
  <si>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</si>
  <si>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</si>
  <si>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</si>
  <si>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</si>
  <si>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</si>
  <si>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</si>
  <si>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</si>
  <si>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</si>
  <si>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</si>
  <si>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</si>
  <si>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</si>
  <si>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</si>
  <si>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</si>
  <si>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</si>
  <si>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</si>
  <si>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</si>
  <si>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</si>
  <si>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</si>
  <si>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</si>
  <si>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</si>
  <si>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</si>
  <si>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</si>
  <si>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</si>
  <si>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</si>
  <si>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</si>
  <si>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</si>
  <si>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</si>
  <si>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</si>
  <si>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</si>
  <si>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</si>
  <si>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</si>
  <si>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</si>
  <si>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</si>
  <si>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</si>
  <si>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</si>
  <si>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</si>
  <si>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</si>
  <si>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</si>
  <si>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</si>
  <si>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</si>
  <si>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</si>
  <si>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</si>
  <si>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</si>
  <si>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</si>
  <si>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</si>
  <si>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</si>
  <si>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</si>
  <si>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</si>
  <si>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</si>
  <si>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</si>
  <si>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</si>
  <si>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</si>
  <si>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</si>
  <si>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</si>
  <si>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</si>
  <si>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</si>
  <si>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</si>
  <si>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</si>
  <si>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</si>
  <si>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</si>
  <si>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</si>
  <si>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</si>
  <si>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</si>
  <si>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</si>
  <si>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</si>
  <si>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</si>
  <si>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</si>
  <si>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</si>
  <si>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</si>
  <si>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</si>
  <si>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</si>
  <si>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</si>
  <si>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</si>
  <si>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</si>
  <si>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</si>
  <si>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</si>
  <si>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</si>
  <si>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</si>
  <si>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</si>
  <si>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</si>
  <si>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</si>
  <si>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</si>
  <si>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</si>
  <si>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</si>
  <si>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</si>
  <si>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</si>
  <si>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</si>
  <si>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</si>
  <si>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</si>
  <si>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</si>
  <si>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</si>
  <si>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</si>
  <si>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</si>
  <si>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</si>
  <si>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</si>
  <si>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</si>
  <si>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</si>
  <si>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</si>
  <si>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</si>
  <si>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</si>
  <si>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</si>
  <si>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</si>
  <si>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</si>
  <si>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</si>
  <si>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</si>
  <si>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</si>
  <si>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</si>
  <si>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</si>
  <si>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</si>
  <si>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</si>
  <si>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</si>
  <si>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</si>
  <si>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</si>
  <si>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</si>
  <si>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</si>
  <si>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</si>
  <si>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</si>
  <si>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</si>
  <si>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</si>
  <si>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</si>
  <si>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</si>
  <si>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</si>
  <si>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</si>
  <si>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</si>
  <si>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</si>
  <si>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</si>
  <si>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</si>
  <si>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</si>
  <si>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</si>
  <si>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</si>
  <si>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</si>
  <si>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</si>
  <si>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</si>
  <si>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</si>
  <si>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</si>
  <si>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</si>
  <si>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</si>
  <si>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</si>
  <si>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</si>
  <si>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</si>
  <si>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</si>
  <si>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</si>
  <si>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</si>
  <si>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</si>
  <si>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</si>
  <si>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</si>
  <si>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</si>
  <si>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</si>
  <si>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</si>
  <si>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</si>
  <si>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</si>
  <si>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</si>
  <si>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</si>
  <si>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</si>
  <si>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</si>
  <si>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</si>
  <si>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</si>
  <si>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</si>
  <si>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</si>
  <si>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</si>
  <si>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</si>
  <si>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</si>
  <si>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</si>
  <si>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</si>
  <si>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</si>
  <si>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</si>
  <si>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</si>
  <si>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</si>
  <si>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</si>
  <si>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</si>
  <si>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</si>
  <si>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</si>
  <si>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</si>
  <si>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</si>
  <si>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</si>
  <si>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</si>
  <si>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</si>
  <si>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</si>
  <si>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</si>
  <si>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</si>
  <si>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</si>
  <si>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</si>
  <si>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</si>
  <si>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</si>
  <si>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</si>
  <si>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</si>
  <si>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</si>
  <si>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</si>
  <si>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</si>
  <si>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</si>
  <si>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</si>
  <si>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</si>
  <si>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</si>
  <si>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</si>
  <si>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</si>
  <si>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</si>
  <si>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</si>
  <si>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</si>
  <si>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</si>
  <si>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</si>
  <si>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</si>
  <si>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</si>
  <si>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</si>
  <si>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</si>
  <si>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</si>
  <si>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</si>
  <si>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</si>
  <si>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</si>
  <si>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</si>
  <si>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</si>
  <si>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</si>
  <si>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</si>
  <si>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</si>
  <si>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</si>
  <si>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</si>
  <si>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</si>
  <si>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</si>
  <si>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</si>
  <si>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</si>
  <si>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</si>
  <si>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</si>
  <si>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</si>
  <si>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</si>
  <si>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</si>
  <si>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</si>
  <si>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</si>
  <si>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</si>
  <si>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</si>
  <si>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</si>
  <si>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</si>
  <si>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</si>
  <si>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</si>
  <si>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</si>
  <si>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</si>
  <si>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</si>
  <si>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</si>
  <si>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</si>
  <si>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</si>
  <si>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</si>
  <si>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</si>
  <si>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</si>
  <si>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</si>
  <si>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</si>
  <si>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</si>
  <si>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</si>
  <si>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</si>
  <si>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</si>
  <si>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</si>
  <si>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</si>
  <si>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</si>
  <si>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</si>
  <si>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</si>
  <si>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</si>
  <si>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</si>
  <si>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</si>
  <si>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</si>
  <si>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</si>
  <si>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</si>
  <si>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</si>
  <si>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</si>
  <si>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</si>
  <si>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</si>
  <si>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</si>
  <si>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</si>
  <si>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</si>
  <si>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</si>
  <si>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</si>
  <si>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</si>
  <si>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</si>
  <si>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</si>
  <si>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</si>
  <si>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</si>
  <si>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</si>
  <si>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</si>
  <si>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</si>
  <si>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</si>
  <si>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</si>
  <si>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</si>
  <si>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</si>
  <si>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</si>
  <si>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</si>
  <si>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</si>
  <si>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</si>
  <si>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</si>
  <si>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</si>
  <si>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</si>
  <si>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</si>
  <si>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</si>
  <si>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</si>
  <si>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</si>
  <si>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</si>
  <si>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</si>
  <si>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</si>
  <si>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</si>
  <si>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</si>
  <si>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</si>
  <si>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</si>
  <si>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</si>
  <si>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</si>
  <si>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</si>
  <si>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</si>
  <si>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</si>
  <si>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</si>
  <si>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</si>
  <si>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</si>
  <si>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</si>
  <si>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</si>
  <si>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</si>
  <si>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</si>
  <si>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</si>
  <si>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</si>
  <si>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</si>
  <si>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</si>
  <si>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</si>
  <si>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</si>
  <si>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</si>
  <si>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</si>
  <si>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</si>
  <si>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</si>
  <si>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</si>
  <si>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</si>
  <si>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</si>
  <si>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</si>
  <si>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</si>
  <si>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</si>
  <si>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</si>
  <si>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</si>
  <si>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</si>
  <si>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</si>
  <si>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</si>
  <si>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</si>
  <si>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</si>
  <si>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</si>
  <si>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</si>
  <si>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</si>
  <si>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</si>
  <si>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</si>
  <si>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</si>
  <si>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</si>
  <si>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</si>
  <si>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</si>
  <si>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</si>
  <si>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</si>
  <si>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</si>
  <si>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</si>
  <si>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</si>
  <si>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</si>
  <si>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</si>
  <si>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</si>
  <si>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</si>
  <si>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</si>
  <si>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</si>
  <si>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</si>
  <si>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</si>
  <si>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</si>
  <si>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</si>
  <si>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</si>
  <si>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</si>
  <si>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</si>
  <si>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</si>
  <si>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</si>
  <si>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</si>
  <si>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</si>
  <si>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</si>
  <si>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</si>
  <si>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</si>
  <si>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</si>
  <si>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</si>
  <si>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</si>
  <si>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</si>
  <si>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</si>
  <si>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</si>
  <si>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</si>
  <si>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</si>
  <si>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</si>
  <si>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</si>
  <si>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</si>
  <si>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</si>
  <si>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</si>
  <si>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</si>
  <si>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</si>
  <si>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</si>
  <si>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</si>
  <si>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</si>
  <si>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</si>
  <si>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</si>
  <si>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</si>
  <si>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</si>
  <si>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</si>
  <si>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</si>
  <si>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</si>
  <si>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</si>
  <si>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</si>
  <si>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</si>
  <si>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</si>
  <si>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</si>
  <si>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</si>
  <si>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</si>
  <si>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</si>
  <si>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</si>
  <si>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</si>
  <si>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</si>
  <si>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</si>
  <si>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</si>
  <si>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</si>
  <si>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</si>
  <si>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</si>
  <si>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</si>
  <si>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</si>
  <si>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</si>
  <si>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</si>
  <si>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</si>
  <si>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</si>
  <si>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</si>
  <si>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</si>
  <si>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</si>
  <si>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</si>
  <si>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</si>
  <si>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</si>
  <si>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</si>
  <si>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</si>
  <si>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</si>
  <si>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</si>
  <si>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</si>
  <si>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</si>
  <si>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</si>
  <si>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</si>
  <si>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</si>
  <si>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</si>
  <si>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</si>
  <si>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</si>
  <si>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</si>
  <si>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</si>
  <si>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</si>
  <si>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</si>
  <si>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</si>
  <si>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</si>
  <si>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</si>
  <si>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</si>
  <si>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</si>
  <si>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</si>
  <si>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</si>
  <si>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</si>
  <si>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</si>
  <si>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</si>
  <si>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</si>
  <si>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</si>
  <si>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</si>
  <si>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</si>
  <si>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</si>
  <si>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</si>
  <si>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</si>
  <si>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</si>
  <si>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</si>
  <si>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</si>
  <si>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</si>
  <si>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</si>
  <si>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</si>
  <si>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</si>
  <si>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</si>
  <si>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</si>
  <si>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</si>
  <si>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</si>
  <si>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</si>
  <si>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</si>
  <si>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</si>
  <si>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</si>
  <si>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</si>
  <si>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</si>
  <si>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</si>
  <si>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</si>
  <si>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</si>
  <si>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</si>
  <si>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</si>
  <si>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</si>
  <si>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</si>
  <si>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</si>
  <si>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</si>
  <si>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</si>
  <si>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</si>
  <si>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</si>
  <si>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</si>
  <si>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</si>
  <si>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</si>
  <si>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</si>
  <si>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</si>
  <si>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</si>
  <si>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</si>
  <si>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</si>
  <si>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</si>
  <si>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</si>
  <si>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</si>
  <si>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</si>
  <si>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</si>
  <si>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</si>
  <si>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</si>
  <si>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</si>
  <si>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</si>
  <si>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</si>
  <si>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</si>
  <si>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</si>
  <si>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</si>
  <si>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</si>
  <si>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</si>
  <si>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</si>
  <si>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</si>
  <si>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</si>
  <si>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</si>
  <si>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</si>
  <si>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</si>
  <si>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</si>
  <si>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</si>
  <si>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</si>
  <si>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</si>
  <si>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</si>
  <si>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</si>
  <si>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</si>
  <si>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</si>
  <si>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</si>
  <si>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</si>
  <si>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</si>
  <si>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</si>
  <si>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</si>
  <si>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</si>
  <si>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</si>
  <si>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</si>
  <si>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</si>
  <si>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</si>
  <si>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</si>
  <si>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</si>
  <si>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</si>
  <si>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</si>
  <si>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</si>
  <si>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</si>
  <si>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</si>
  <si>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</si>
  <si>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</si>
  <si>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</si>
  <si>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</si>
  <si>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</si>
  <si>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</si>
  <si>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</si>
  <si>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</si>
  <si>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</si>
  <si>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</si>
  <si>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</si>
  <si>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</si>
  <si>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</si>
  <si>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</si>
  <si>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</si>
  <si>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</si>
  <si>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</si>
  <si>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</si>
  <si>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</si>
  <si>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</si>
  <si>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</si>
  <si>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</si>
  <si>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</si>
  <si>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</si>
  <si>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</si>
  <si>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</si>
  <si>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</si>
  <si>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</si>
  <si>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</si>
  <si>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</si>
  <si>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</si>
  <si>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</si>
  <si>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</si>
  <si>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</si>
  <si>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</si>
  <si>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</si>
  <si>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</si>
  <si>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</si>
  <si>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</si>
  <si>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</si>
  <si>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</si>
  <si>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</si>
  <si>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</si>
  <si>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</si>
  <si>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</si>
  <si>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</si>
  <si>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</si>
  <si>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</si>
  <si>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</si>
  <si>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</si>
  <si>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</si>
  <si>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</si>
  <si>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</si>
  <si>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</si>
  <si>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</si>
  <si>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</si>
  <si>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</si>
  <si>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</si>
  <si>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</si>
  <si>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</si>
  <si>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</si>
  <si>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</si>
  <si>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</si>
  <si>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</si>
  <si>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</si>
  <si>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</si>
  <si>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</si>
  <si>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</si>
  <si>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</si>
  <si>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</si>
  <si>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</si>
  <si>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</si>
  <si>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</si>
  <si>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</si>
  <si>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</si>
  <si>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</si>
  <si>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</si>
  <si>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</si>
  <si>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</si>
  <si>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</si>
  <si>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</si>
  <si>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</si>
  <si>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</si>
  <si>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</si>
  <si>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</si>
  <si>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</si>
  <si>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</si>
  <si>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</si>
  <si>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</si>
  <si>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</si>
  <si>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</si>
  <si>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</si>
  <si>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</si>
  <si>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</si>
  <si>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</si>
  <si>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</si>
  <si>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</si>
  <si>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</si>
  <si>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</si>
  <si>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</si>
  <si>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</si>
  <si>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</si>
  <si>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</si>
  <si>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</si>
  <si>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</si>
  <si>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</si>
  <si>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</si>
  <si>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</si>
  <si>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</si>
  <si>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</si>
  <si>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</si>
  <si>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</si>
  <si>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</si>
  <si>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</si>
  <si>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</si>
  <si>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</si>
  <si>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</si>
  <si>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</si>
  <si>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</si>
  <si>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</si>
  <si>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</si>
  <si>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</si>
  <si>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</si>
  <si>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</si>
  <si>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</si>
  <si>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</si>
  <si>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</si>
  <si>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</si>
  <si>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</si>
  <si>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</si>
  <si>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</si>
  <si>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</si>
  <si>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</si>
  <si>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</si>
  <si>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</si>
  <si>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</si>
  <si>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</si>
  <si>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</si>
  <si>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</si>
  <si>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</si>
  <si>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</si>
  <si>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</si>
  <si>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</si>
  <si>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</si>
  <si>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</si>
  <si>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</si>
  <si>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</si>
  <si>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</si>
  <si>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</si>
  <si>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</si>
  <si>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</si>
  <si>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</si>
  <si>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</si>
  <si>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</si>
  <si>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</si>
  <si>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</si>
  <si>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</si>
  <si>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</si>
  <si>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</si>
  <si>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</si>
  <si>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</si>
  <si>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</si>
  <si>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</si>
  <si>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</si>
  <si>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</si>
  <si>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</si>
  <si>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</si>
  <si>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</si>
  <si>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</si>
  <si>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</si>
  <si>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</si>
  <si>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</si>
  <si>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</si>
  <si>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</si>
  <si>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</si>
  <si>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</si>
  <si>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</si>
  <si>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</si>
  <si>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</si>
  <si>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</si>
  <si>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</si>
  <si>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</si>
  <si>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</si>
  <si>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</si>
  <si>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</si>
  <si>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</si>
  <si>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</si>
  <si>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</si>
  <si>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</si>
  <si>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</si>
  <si>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</si>
  <si>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</si>
  <si>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</si>
  <si>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</si>
  <si>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</si>
  <si>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</si>
  <si>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</si>
  <si>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</si>
  <si>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</si>
  <si>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</si>
  <si>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</si>
  <si>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</si>
  <si>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</si>
  <si>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</si>
  <si>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</si>
  <si>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</si>
  <si>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</si>
  <si>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</si>
  <si>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</si>
  <si>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</si>
  <si>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</si>
  <si>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</si>
  <si>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</si>
  <si>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</si>
  <si>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</si>
  <si>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</si>
  <si>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</si>
  <si>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</si>
  <si>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</si>
  <si>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</si>
  <si>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</si>
  <si>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</si>
  <si>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</si>
  <si>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</si>
  <si>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</si>
  <si>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</si>
  <si>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</si>
  <si>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</si>
  <si>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</si>
  <si>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</si>
  <si>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</si>
  <si>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</si>
  <si>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</si>
  <si>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</si>
  <si>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</si>
  <si>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</si>
  <si>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</si>
  <si>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</si>
  <si>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</si>
  <si>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</si>
  <si>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</si>
  <si>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</si>
  <si>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</si>
  <si>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</si>
  <si>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</si>
  <si>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</si>
  <si>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</si>
  <si>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</si>
  <si>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</si>
  <si>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</si>
  <si>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</si>
  <si>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</si>
  <si>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</si>
  <si>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</si>
  <si>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</si>
  <si>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</si>
  <si>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</si>
  <si>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</si>
  <si>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</si>
  <si>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</si>
  <si>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</si>
  <si>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</si>
  <si>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</si>
  <si>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</si>
  <si>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</si>
  <si>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</si>
  <si>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</si>
  <si>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</si>
  <si>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</si>
  <si>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</si>
  <si>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</si>
  <si>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</si>
  <si>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</si>
  <si>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</si>
  <si>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</si>
  <si>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</si>
  <si>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</si>
  <si>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</si>
  <si>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</si>
  <si>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</si>
  <si>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</si>
  <si>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</si>
  <si>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</si>
  <si>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</si>
  <si>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</si>
  <si>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</si>
  <si>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</si>
  <si>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</si>
  <si>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</si>
  <si>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</si>
  <si>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</si>
  <si>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</si>
  <si>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</si>
  <si>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</si>
  <si>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</si>
  <si>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</si>
  <si>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</si>
  <si>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</si>
  <si>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</si>
  <si>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</si>
  <si>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</si>
  <si>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</si>
  <si>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</si>
  <si>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</si>
  <si>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</si>
  <si>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</si>
  <si>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</si>
  <si>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</si>
  <si>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</si>
  <si>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</si>
  <si>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</si>
  <si>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</si>
  <si>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</si>
  <si>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</si>
  <si>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</si>
  <si>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</si>
  <si>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</si>
  <si>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</si>
  <si>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</si>
  <si>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</si>
  <si>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</si>
  <si>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</si>
  <si>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</si>
  <si>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</si>
  <si>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</si>
  <si>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</si>
  <si>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</si>
  <si>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</si>
  <si>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</si>
  <si>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</si>
  <si>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</si>
  <si>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</si>
  <si>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</si>
  <si>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</si>
  <si>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</si>
  <si>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</si>
  <si>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</si>
  <si>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</si>
  <si>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</si>
  <si>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</si>
  <si>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</si>
  <si>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</si>
  <si>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</si>
  <si>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</si>
  <si>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</si>
  <si>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</si>
  <si>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</si>
  <si>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</si>
  <si>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</si>
  <si>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</si>
  <si>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</si>
  <si>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</si>
  <si>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</si>
  <si>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</si>
  <si>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</si>
  <si>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</si>
  <si>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</si>
  <si>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</si>
  <si>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</si>
  <si>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</si>
  <si>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</si>
  <si>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</si>
  <si>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</si>
  <si>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</si>
  <si>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</si>
  <si>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</si>
  <si>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</si>
  <si>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</si>
  <si>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</si>
  <si>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</si>
  <si>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</si>
  <si>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</si>
  <si>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</si>
  <si>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</si>
  <si>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</si>
  <si>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</si>
  <si>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</si>
  <si>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</si>
  <si>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</si>
  <si>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</si>
  <si>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</si>
  <si>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</si>
  <si>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</si>
  <si>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</si>
  <si>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</si>
  <si>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</si>
  <si>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</si>
  <si>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</si>
  <si>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</si>
  <si>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</si>
  <si>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</si>
  <si>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</si>
  <si>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</si>
  <si>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</si>
  <si>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</si>
  <si>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</si>
  <si>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</si>
  <si>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</si>
  <si>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</si>
  <si>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</si>
  <si>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</si>
  <si>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</si>
  <si>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</si>
  <si>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</si>
  <si>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</si>
  <si>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</si>
  <si>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</si>
  <si>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</si>
  <si>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</si>
  <si>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</si>
  <si>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</si>
  <si>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</si>
  <si>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</si>
  <si>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</si>
  <si>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</si>
  <si>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</si>
  <si>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</si>
  <si>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</si>
  <si>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</si>
  <si>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</si>
  <si>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</si>
  <si>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</si>
  <si>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</si>
  <si>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</si>
  <si>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</si>
  <si>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</si>
  <si>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</si>
  <si>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</si>
  <si>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</si>
  <si>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</si>
  <si>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</si>
  <si>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</si>
  <si>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</si>
  <si>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</si>
  <si>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</si>
  <si>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</si>
  <si>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</si>
  <si>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</si>
  <si>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</si>
  <si>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</si>
  <si>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</si>
  <si>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</si>
  <si>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</si>
  <si>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</si>
  <si>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</si>
  <si>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</si>
  <si>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</si>
  <si>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</si>
  <si>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</si>
  <si>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</si>
  <si>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</si>
  <si>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</si>
  <si>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</si>
  <si>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</si>
  <si>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</si>
  <si>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</si>
  <si>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</si>
  <si>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</si>
  <si>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</si>
  <si>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</si>
  <si>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</si>
  <si>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</si>
  <si>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</si>
  <si>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</si>
  <si>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</si>
  <si>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</si>
  <si>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</si>
  <si>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</si>
  <si>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</si>
  <si>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</si>
  <si>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</si>
  <si>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</si>
  <si>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</si>
  <si>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</si>
  <si>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</si>
  <si>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</si>
  <si>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</si>
  <si>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</si>
  <si>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</si>
  <si>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</si>
  <si>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</si>
  <si>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</si>
  <si>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</si>
  <si>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</si>
  <si>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</si>
  <si>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</si>
  <si>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</si>
  <si>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</si>
  <si>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</si>
  <si>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</si>
  <si>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</si>
  <si>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</si>
  <si>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</si>
  <si>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</si>
  <si>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</si>
  <si>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</si>
  <si>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</si>
  <si>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</si>
  <si>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</si>
  <si>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</si>
  <si>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</si>
  <si>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</si>
  <si>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</si>
  <si>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</si>
  <si>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</si>
  <si>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</si>
  <si>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</si>
  <si>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</si>
  <si>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</si>
  <si>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</si>
  <si>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</si>
  <si>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</si>
  <si>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</si>
  <si>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</si>
  <si>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</si>
  <si>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</si>
  <si>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</si>
  <si>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</si>
  <si>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</si>
  <si>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</si>
  <si>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</si>
  <si>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</si>
  <si>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</si>
  <si>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</si>
  <si>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</si>
  <si>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</si>
  <si>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</si>
  <si>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</si>
  <si>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</si>
  <si>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</si>
  <si>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</si>
  <si>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</si>
  <si>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</si>
  <si>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</si>
  <si>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</si>
  <si>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</si>
  <si>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</si>
  <si>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</si>
  <si>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</si>
  <si>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</si>
  <si>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</si>
  <si>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</si>
  <si>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</si>
  <si>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</si>
  <si>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</si>
  <si>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</si>
  <si>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</si>
  <si>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</si>
  <si>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</si>
  <si>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</si>
  <si>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</si>
  <si>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</si>
  <si>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</si>
  <si>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</si>
  <si>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</si>
  <si>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</si>
  <si>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</si>
  <si>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</si>
  <si>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</si>
  <si>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</si>
  <si>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</si>
  <si>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</si>
  <si>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</si>
  <si>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</si>
  <si>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</si>
  <si>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</si>
  <si>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</si>
  <si>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</si>
  <si>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</si>
  <si>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</si>
  <si>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</si>
  <si>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</si>
  <si>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</si>
  <si>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</si>
  <si>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</si>
  <si>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</si>
  <si>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</si>
  <si>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</si>
  <si>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</si>
  <si>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</si>
  <si>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</si>
  <si>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</si>
  <si>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</si>
  <si>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</si>
  <si>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</si>
  <si>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</si>
  <si>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</si>
  <si>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</si>
  <si>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</si>
  <si>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</si>
  <si>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</si>
  <si>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</si>
  <si>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</si>
  <si>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</si>
  <si>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</si>
  <si>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</si>
  <si>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</si>
  <si>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</si>
  <si>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</si>
  <si>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</si>
  <si>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</si>
  <si>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</si>
  <si>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</si>
  <si>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</si>
  <si>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</si>
  <si>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</si>
  <si>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</si>
  <si>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</si>
  <si>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</si>
  <si>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</si>
  <si>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</si>
  <si>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</si>
  <si>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</si>
  <si>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</si>
  <si>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</si>
  <si>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</si>
  <si>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</si>
  <si>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</si>
  <si>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</si>
  <si>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</si>
  <si>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</si>
  <si>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</si>
  <si>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</si>
  <si>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</si>
  <si>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</si>
  <si>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</si>
  <si>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</si>
  <si>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</si>
  <si>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</si>
  <si>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</si>
  <si>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</si>
  <si>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</si>
  <si>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</si>
  <si>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</si>
  <si>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</si>
  <si>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</si>
  <si>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</si>
  <si>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</si>
  <si>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</si>
  <si>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</si>
  <si>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</si>
  <si>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</si>
  <si>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</si>
  <si>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</si>
  <si>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</si>
  <si>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</si>
  <si>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</si>
  <si>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</si>
  <si>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</si>
  <si>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</si>
  <si>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</si>
  <si>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</si>
  <si>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</si>
  <si>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</si>
  <si>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</si>
  <si>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</si>
  <si>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</si>
  <si>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</si>
  <si>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</si>
  <si>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</si>
  <si>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</si>
  <si>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</si>
  <si>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</si>
  <si>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</si>
  <si>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</si>
  <si>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</si>
  <si>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</si>
  <si>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</si>
  <si>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</si>
  <si>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</si>
  <si>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</si>
  <si>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</si>
  <si>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</si>
  <si>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</si>
  <si>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</si>
  <si>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</si>
  <si>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</si>
  <si>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</si>
  <si>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</si>
  <si>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</si>
  <si>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</si>
  <si>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</si>
  <si>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</si>
  <si>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</si>
  <si>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</si>
  <si>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</si>
  <si>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</si>
  <si>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</si>
  <si>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</si>
  <si>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</si>
  <si>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</si>
  <si>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</si>
  <si>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</si>
  <si>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</si>
  <si>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</si>
  <si>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</si>
  <si>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</si>
  <si>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</si>
  <si>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</si>
  <si>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</si>
  <si>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</si>
  <si>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</si>
  <si>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</si>
  <si>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</si>
  <si>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</si>
  <si>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</si>
  <si>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</si>
  <si>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</si>
  <si>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</si>
  <si>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</si>
  <si>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</si>
  <si>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</si>
  <si>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</si>
  <si>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</si>
  <si>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</si>
  <si>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</si>
  <si>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</si>
  <si>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</si>
  <si>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</si>
  <si>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</si>
  <si>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</si>
  <si>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</si>
  <si>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</si>
  <si>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</si>
  <si>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</si>
  <si>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</si>
  <si>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</si>
  <si>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</si>
  <si>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</si>
  <si>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</si>
  <si>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</si>
  <si>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</si>
  <si>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</si>
  <si>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</si>
  <si>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</si>
  <si>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</si>
  <si>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</si>
  <si>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</si>
  <si>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</si>
  <si>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</si>
  <si>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</si>
  <si>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</si>
  <si>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</si>
  <si>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</si>
  <si>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</si>
  <si>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</si>
  <si>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</si>
  <si>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</si>
  <si>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</si>
  <si>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</si>
  <si>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</si>
  <si>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</si>
  <si>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</si>
  <si>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</si>
  <si>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</si>
  <si>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</si>
  <si>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</si>
  <si>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</si>
  <si>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</si>
  <si>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</si>
  <si>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</si>
  <si>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</si>
  <si>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</si>
  <si>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</si>
  <si>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</si>
  <si>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</si>
  <si>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</si>
  <si>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</si>
  <si>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</si>
  <si>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</si>
  <si>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</si>
  <si>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</si>
  <si>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</si>
  <si>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</si>
  <si>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</si>
  <si>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</si>
  <si>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</si>
  <si>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</si>
  <si>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</si>
  <si>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</si>
  <si>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</si>
  <si>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</si>
  <si>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</si>
  <si>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</si>
  <si>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</si>
  <si>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</si>
  <si>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</si>
  <si>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</si>
  <si>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</si>
  <si>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</si>
  <si>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</si>
  <si>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</si>
  <si>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</si>
  <si>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</si>
  <si>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</si>
  <si>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</si>
  <si>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</si>
  <si>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</si>
  <si>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</si>
  <si>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</si>
  <si>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</si>
  <si>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</si>
  <si>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</si>
  <si>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</si>
  <si>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</si>
  <si>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</si>
  <si>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</si>
  <si>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</si>
  <si>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</si>
  <si>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</si>
  <si>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</si>
  <si>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</si>
  <si>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</si>
  <si>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</si>
  <si>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</si>
  <si>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</si>
  <si>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</si>
  <si>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</si>
  <si>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</si>
  <si>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</si>
  <si>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</si>
  <si>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</si>
  <si>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</si>
  <si>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</si>
  <si>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</si>
  <si>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</si>
  <si>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</si>
  <si>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</si>
  <si>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</si>
  <si>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</si>
  <si>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</si>
  <si>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</si>
  <si>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</si>
  <si>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</si>
  <si>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</si>
  <si>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</si>
  <si>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</si>
  <si>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</si>
  <si>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</si>
  <si>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</si>
  <si>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</si>
  <si>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</si>
  <si>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</si>
  <si>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</si>
  <si>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</si>
  <si>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</si>
  <si>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</si>
  <si>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</si>
  <si>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</si>
  <si>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</si>
  <si>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</si>
  <si>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</si>
  <si>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</si>
  <si>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</si>
  <si>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</si>
  <si>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</si>
  <si>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</si>
  <si>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</si>
  <si>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</si>
  <si>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</si>
  <si>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</si>
  <si>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</si>
  <si>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</si>
  <si>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</si>
  <si>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</si>
  <si>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</si>
  <si>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</si>
  <si>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</si>
  <si>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</si>
  <si>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</si>
  <si>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</si>
  <si>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</si>
  <si>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</si>
  <si>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</si>
  <si>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</si>
  <si>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</si>
  <si>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</si>
  <si>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</si>
  <si>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</si>
  <si>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</si>
  <si>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</si>
  <si>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</si>
  <si>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</si>
  <si>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</si>
  <si>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</si>
  <si>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</si>
  <si>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</si>
  <si>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</si>
  <si>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</si>
  <si>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</si>
  <si>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</si>
  <si>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</si>
  <si>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</si>
  <si>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</si>
  <si>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</si>
  <si>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</si>
  <si>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</si>
  <si>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</si>
  <si>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</si>
  <si>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</si>
  <si>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</si>
  <si>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</si>
  <si>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</si>
  <si>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</si>
  <si>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</si>
  <si>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</si>
  <si>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</si>
  <si>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</si>
  <si>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</si>
  <si>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</si>
  <si>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</si>
  <si>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</si>
  <si>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</si>
  <si>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</si>
  <si>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</si>
  <si>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</si>
  <si>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</si>
  <si>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</si>
  <si>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</si>
  <si>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</si>
  <si>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</si>
  <si>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</si>
  <si>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</si>
  <si>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</si>
  <si>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</si>
  <si>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</si>
  <si>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</si>
  <si>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</si>
  <si>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</si>
  <si>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</si>
  <si>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</si>
  <si>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</si>
  <si>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</si>
  <si>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</si>
  <si>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</si>
  <si>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</si>
  <si>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</si>
  <si>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</si>
  <si>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</si>
  <si>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</si>
  <si>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</si>
  <si>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</si>
  <si>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</si>
  <si>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</si>
  <si>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</si>
  <si>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</si>
  <si>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</si>
  <si>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</si>
  <si>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</si>
  <si>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</si>
  <si>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</si>
  <si>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</si>
  <si>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</si>
  <si>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</si>
  <si>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</si>
  <si>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</si>
  <si>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</si>
  <si>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</si>
  <si>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</si>
  <si>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</si>
  <si>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</si>
  <si>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</si>
  <si>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</si>
  <si>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</si>
  <si>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</si>
  <si>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</si>
  <si>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</si>
  <si>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</si>
  <si>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</si>
  <si>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</si>
  <si>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</si>
  <si>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</si>
  <si>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</si>
  <si>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</si>
  <si>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</si>
  <si>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</si>
  <si>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</si>
  <si>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</si>
  <si>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</si>
  <si>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</si>
  <si>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</si>
  <si>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</si>
  <si>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</si>
  <si>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</si>
  <si>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</si>
  <si>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</si>
  <si>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</si>
  <si>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</si>
  <si>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</si>
  <si>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</si>
  <si>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</si>
  <si>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</si>
  <si>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</si>
  <si>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</si>
  <si>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</si>
  <si>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</si>
  <si>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</si>
  <si>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</si>
  <si>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</si>
  <si>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</si>
  <si>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</si>
  <si>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</si>
  <si>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</si>
  <si>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</si>
  <si>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</si>
  <si>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</si>
  <si>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</si>
  <si>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</si>
  <si>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</si>
  <si>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</si>
  <si>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</si>
  <si>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</si>
  <si>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</si>
  <si>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</si>
  <si>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</si>
  <si>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</si>
  <si>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</si>
  <si>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</si>
  <si>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</si>
  <si>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</si>
  <si>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</si>
  <si>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</si>
  <si>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</si>
  <si>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</si>
  <si>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</si>
  <si>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</si>
  <si>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</si>
  <si>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</si>
  <si>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</si>
  <si>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</si>
  <si>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</si>
  <si>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</si>
  <si>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</si>
  <si>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</si>
  <si>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</si>
  <si>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</si>
  <si>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</si>
  <si>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</si>
  <si>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</si>
  <si>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</si>
  <si>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</si>
  <si>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</si>
  <si>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</si>
  <si>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</si>
  <si>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</si>
  <si>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</si>
  <si>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</si>
  <si>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</si>
  <si>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</si>
  <si>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</si>
  <si>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</si>
  <si>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</si>
  <si>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</si>
  <si>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</si>
  <si>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</si>
  <si>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</si>
  <si>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</si>
  <si>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</si>
  <si>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</si>
  <si>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</si>
  <si>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</si>
  <si>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</si>
  <si>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</si>
  <si>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</si>
  <si>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</si>
  <si>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</si>
  <si>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</si>
  <si>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</si>
  <si>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</si>
  <si>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</si>
  <si>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</si>
  <si>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</si>
  <si>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</si>
  <si>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</si>
  <si>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</si>
  <si>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</si>
  <si>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</si>
  <si>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</si>
  <si>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</si>
  <si>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</si>
  <si>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</si>
  <si>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</si>
  <si>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</si>
  <si>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</si>
  <si>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</si>
  <si>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</si>
  <si>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</si>
  <si>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</si>
  <si>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</si>
  <si>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</si>
  <si>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</si>
  <si>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</si>
  <si>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</si>
  <si>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</si>
  <si>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</si>
  <si>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</si>
  <si>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</si>
  <si>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</si>
  <si>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</si>
  <si>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</si>
  <si>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</si>
  <si>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</si>
  <si>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</si>
  <si>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</si>
  <si>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</si>
  <si>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</si>
  <si>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</si>
  <si>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</si>
  <si>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</si>
  <si>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</si>
  <si>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</si>
  <si>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</si>
  <si>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</si>
  <si>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</si>
  <si>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</si>
  <si>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</si>
  <si>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</si>
  <si>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</si>
  <si>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</si>
  <si>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</si>
  <si>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</si>
  <si>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</si>
  <si>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</si>
  <si>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</si>
  <si>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</si>
  <si>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</si>
  <si>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</si>
  <si>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</si>
  <si>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</si>
  <si>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</si>
  <si>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</si>
  <si>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</si>
  <si>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</si>
  <si>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</si>
  <si>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</si>
  <si>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</si>
  <si>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</si>
  <si>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</si>
  <si>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</si>
  <si>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</si>
  <si>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</si>
  <si>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</si>
  <si>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</si>
  <si>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</si>
  <si>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</si>
  <si>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</si>
  <si>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</si>
  <si>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</si>
  <si>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</si>
  <si>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</si>
  <si>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</si>
  <si>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</si>
  <si>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</si>
  <si>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</si>
  <si>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</si>
  <si>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</si>
  <si>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</si>
  <si>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</si>
  <si>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</si>
  <si>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</si>
  <si>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</si>
  <si>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</si>
  <si>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</si>
  <si>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</si>
  <si>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</si>
  <si>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</si>
  <si>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</si>
  <si>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</si>
  <si>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</si>
  <si>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</si>
  <si>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</si>
  <si>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</si>
  <si>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</si>
  <si>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</si>
  <si>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</si>
  <si>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</si>
  <si>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</si>
  <si>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</si>
  <si>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</si>
  <si>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</si>
  <si>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</si>
  <si>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</si>
  <si>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</si>
  <si>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</si>
  <si>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</si>
  <si>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</si>
  <si>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</si>
  <si>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</si>
  <si>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</si>
  <si>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</si>
  <si>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</si>
  <si>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</si>
  <si>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</si>
  <si>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</si>
  <si>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</si>
  <si>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</si>
  <si>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</si>
  <si>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</si>
  <si>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</si>
  <si>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</si>
  <si>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</si>
  <si>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</si>
  <si>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</si>
  <si>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</si>
  <si>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</si>
  <si>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</si>
  <si>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</si>
  <si>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</si>
  <si>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</si>
  <si>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</si>
  <si>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</si>
  <si>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</si>
  <si>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</si>
  <si>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</si>
  <si>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</si>
  <si>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</si>
  <si>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</si>
  <si>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</si>
  <si>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</si>
  <si>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</si>
  <si>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</si>
  <si>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</si>
  <si>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</si>
  <si>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</si>
  <si>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</si>
  <si>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</si>
  <si>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</si>
  <si>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</si>
  <si>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</si>
  <si>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</si>
  <si>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</si>
  <si>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</si>
  <si>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</si>
  <si>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</si>
  <si>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</si>
  <si>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</si>
  <si>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</si>
  <si>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</si>
  <si>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</si>
  <si>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</si>
  <si>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</si>
  <si>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</si>
  <si>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</si>
  <si>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</si>
  <si>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</si>
  <si>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</si>
  <si>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</si>
  <si>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</si>
  <si>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</si>
  <si>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</si>
  <si>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</si>
  <si>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</si>
  <si>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</si>
  <si>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</si>
  <si>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</si>
  <si>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</si>
  <si>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</si>
  <si>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</si>
  <si>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</si>
  <si>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</si>
  <si>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</si>
  <si>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</si>
  <si>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</si>
  <si>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</si>
  <si>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</si>
  <si>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</si>
  <si>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</si>
  <si>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</si>
  <si>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</si>
  <si>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</si>
  <si>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</si>
  <si>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</si>
  <si>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</si>
  <si>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</si>
  <si>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</si>
  <si>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</si>
  <si>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</si>
  <si>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</si>
  <si>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</si>
  <si>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</si>
  <si>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</si>
  <si>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</si>
  <si>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</si>
  <si>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</si>
  <si>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</si>
  <si>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</si>
  <si>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</si>
  <si>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</si>
  <si>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</si>
  <si>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</si>
  <si>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</si>
  <si>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</si>
  <si>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</si>
  <si>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</si>
  <si>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</si>
  <si>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</si>
  <si>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</si>
  <si>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</si>
  <si>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</si>
  <si>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</si>
  <si>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</si>
  <si>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</si>
  <si>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</si>
  <si>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</si>
  <si>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</si>
  <si>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</si>
  <si>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</si>
  <si>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</si>
  <si>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</si>
  <si>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</si>
  <si>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</si>
  <si>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</si>
  <si>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</si>
  <si>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</si>
  <si>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</si>
  <si>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</si>
  <si>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</si>
  <si>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</si>
  <si>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</si>
  <si>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</si>
  <si>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</si>
  <si>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</si>
  <si>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</si>
  <si>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</si>
  <si>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</si>
  <si>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</si>
  <si>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</si>
  <si>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</si>
  <si>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</si>
  <si>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</si>
  <si>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</si>
  <si>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</si>
  <si>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</si>
  <si>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</si>
  <si>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</si>
  <si>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</si>
  <si>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</si>
  <si>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</si>
  <si>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</si>
  <si>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</si>
  <si>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</si>
  <si>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</si>
  <si>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</si>
  <si>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</si>
  <si>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</si>
  <si>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</si>
  <si>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</si>
  <si>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</si>
  <si>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</si>
  <si>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</si>
  <si>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</si>
  <si>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</si>
  <si>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</si>
  <si>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</si>
  <si>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</si>
  <si>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</si>
  <si>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</si>
  <si>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</si>
  <si>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</si>
  <si>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</si>
  <si>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</si>
  <si>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</si>
  <si>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</si>
  <si>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</si>
  <si>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</si>
  <si>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</si>
  <si>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</si>
  <si>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</si>
  <si>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</si>
  <si>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</si>
  <si>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</si>
  <si>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</si>
  <si>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</si>
  <si>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</si>
  <si>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</si>
  <si>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</si>
  <si>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</si>
  <si>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</si>
  <si>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</si>
  <si>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</si>
  <si>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</si>
  <si>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</si>
  <si>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</si>
  <si>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</si>
  <si>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</si>
  <si>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</si>
  <si>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</si>
  <si>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</si>
  <si>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</si>
  <si>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</si>
  <si>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</si>
  <si>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</si>
  <si>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</si>
  <si>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</si>
  <si>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</si>
  <si>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</si>
  <si>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</si>
  <si>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</si>
  <si>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</si>
  <si>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</si>
  <si>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</si>
  <si>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</si>
  <si>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</si>
  <si>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</si>
  <si>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</si>
  <si>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</si>
  <si>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</si>
  <si>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</si>
  <si>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</si>
  <si>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</si>
  <si>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</si>
  <si>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</si>
  <si>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</si>
  <si>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</si>
  <si>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</si>
  <si>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</si>
  <si>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</si>
  <si>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</si>
  <si>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</si>
  <si>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</si>
  <si>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</si>
  <si>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</si>
  <si>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</si>
  <si>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</si>
  <si>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</si>
  <si>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</si>
  <si>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</si>
  <si>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</si>
  <si>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</si>
  <si>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</si>
  <si>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</si>
  <si>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</si>
  <si>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</si>
  <si>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</si>
  <si>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</si>
  <si>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</si>
  <si>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</si>
  <si>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</si>
  <si>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</si>
  <si>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</si>
  <si>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</si>
  <si>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</si>
  <si>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</si>
  <si>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</si>
  <si>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</si>
  <si>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</si>
  <si>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</si>
  <si>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</si>
  <si>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</si>
  <si>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</si>
  <si>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</si>
  <si>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</si>
  <si>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</si>
  <si>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</si>
  <si>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</si>
  <si>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</si>
  <si>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</si>
  <si>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</si>
  <si>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</si>
  <si>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</si>
  <si>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</si>
  <si>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</si>
  <si>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</si>
  <si>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</si>
  <si>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</si>
  <si>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</si>
  <si>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</si>
  <si>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</si>
  <si>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</si>
  <si>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</si>
  <si>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</si>
  <si>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</si>
  <si>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</si>
  <si>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</si>
  <si>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</si>
  <si>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</si>
  <si>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</si>
  <si>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</si>
  <si>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</si>
  <si>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</si>
  <si>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</si>
  <si>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</si>
  <si>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</si>
  <si>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</si>
  <si>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</si>
  <si>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</si>
  <si>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</si>
  <si>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</si>
  <si>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</si>
  <si>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</si>
  <si>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</si>
  <si>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</si>
  <si>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</si>
  <si>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</si>
  <si>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</si>
  <si>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</si>
  <si>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</si>
  <si>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</si>
  <si>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</si>
  <si>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</si>
  <si>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</si>
  <si>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</si>
  <si>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</si>
  <si>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</si>
  <si>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</si>
  <si>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</si>
  <si>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</si>
  <si>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</si>
  <si>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</si>
  <si>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</si>
  <si>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</si>
  <si>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</si>
  <si>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</si>
  <si>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</si>
  <si>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</si>
  <si>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</si>
  <si>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</si>
  <si>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</si>
  <si>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</si>
  <si>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</si>
  <si>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</si>
  <si>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</si>
  <si>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</si>
  <si>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</si>
  <si>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</si>
  <si>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</si>
  <si>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</si>
  <si>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</si>
  <si>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</si>
  <si>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</si>
  <si>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</si>
  <si>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</si>
  <si>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</si>
  <si>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</si>
  <si>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</si>
  <si>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</si>
  <si>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</si>
  <si>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</si>
  <si>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</si>
  <si>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</si>
  <si>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</si>
  <si>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</si>
  <si>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</si>
  <si>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</si>
  <si>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</si>
  <si>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</si>
  <si>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</si>
  <si>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</si>
  <si>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</si>
  <si>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</si>
  <si>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</si>
  <si>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</si>
  <si>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</si>
  <si>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</si>
  <si>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</si>
  <si>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</si>
  <si>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</si>
  <si>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</si>
  <si>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</si>
  <si>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</si>
  <si>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</si>
  <si>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</si>
  <si>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</si>
  <si>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</si>
  <si>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</si>
  <si>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</si>
  <si>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</si>
  <si>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</si>
  <si>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</si>
  <si>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</si>
  <si>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</si>
  <si>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</si>
  <si>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</si>
  <si>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</si>
  <si>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</si>
  <si>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</si>
  <si>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</si>
  <si>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</si>
  <si>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</si>
  <si>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</si>
  <si>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</si>
  <si>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</si>
  <si>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</si>
  <si>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</si>
  <si>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</si>
  <si>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</si>
  <si>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</si>
  <si>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</si>
  <si>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</si>
  <si>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</si>
  <si>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</si>
  <si>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</si>
  <si>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</si>
  <si>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</si>
  <si>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</si>
  <si>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</si>
  <si>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</si>
  <si>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</si>
  <si>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</si>
  <si>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</si>
  <si>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</si>
  <si>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</si>
  <si>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</si>
  <si>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</si>
  <si>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</si>
  <si>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</si>
  <si>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</si>
  <si>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</si>
  <si>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</si>
  <si>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</si>
  <si>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</si>
  <si>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</si>
  <si>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</si>
  <si>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</si>
  <si>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</si>
  <si>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</si>
  <si>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</si>
  <si>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</si>
  <si>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</si>
  <si>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</si>
  <si>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</si>
  <si>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</si>
  <si>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</si>
  <si>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</si>
  <si>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</si>
  <si>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</si>
  <si>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</si>
  <si>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</si>
  <si>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</si>
  <si>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</si>
  <si>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</si>
  <si>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</si>
  <si>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</si>
  <si>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</si>
  <si>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</si>
  <si>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</si>
  <si>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</si>
  <si>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</si>
  <si>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</si>
  <si>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</si>
  <si>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</si>
  <si>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</si>
  <si>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</si>
  <si>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</si>
  <si>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</si>
  <si>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</si>
  <si>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</si>
  <si>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</si>
  <si>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</si>
  <si>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</si>
  <si>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</si>
  <si>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</si>
  <si>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</si>
  <si>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</si>
  <si>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</si>
  <si>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</si>
  <si>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</si>
  <si>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</si>
  <si>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</si>
  <si>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</si>
  <si>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</si>
  <si>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</si>
  <si>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</si>
  <si>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</si>
  <si>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</si>
  <si>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</si>
  <si>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</si>
  <si>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</si>
  <si>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</si>
  <si>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</si>
  <si>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</si>
  <si>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</si>
  <si>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</si>
  <si>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</si>
  <si>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</si>
  <si>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</si>
  <si>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</si>
  <si>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</si>
  <si>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</si>
  <si>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</si>
  <si>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</si>
  <si>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</si>
  <si>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</si>
  <si>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</si>
  <si>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</si>
  <si>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</si>
  <si>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</si>
  <si>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</si>
  <si>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</si>
  <si>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</si>
  <si>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</si>
  <si>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</si>
  <si>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</si>
  <si>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</si>
  <si>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</si>
  <si>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</si>
  <si>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</si>
  <si>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</si>
  <si>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</si>
  <si>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</si>
  <si>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</si>
  <si>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</si>
  <si>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</si>
  <si>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</si>
  <si>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</si>
  <si>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</si>
  <si>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</si>
  <si>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</si>
  <si>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</si>
  <si>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</si>
  <si>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</si>
  <si>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</si>
  <si>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</si>
  <si>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</si>
  <si>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</si>
  <si>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</si>
  <si>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</si>
  <si>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</si>
  <si>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</si>
  <si>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</si>
  <si>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</si>
  <si>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</si>
  <si>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</si>
  <si>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</si>
  <si>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</si>
  <si>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</si>
  <si>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</si>
  <si>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</si>
  <si>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</si>
  <si>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</si>
  <si>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</si>
  <si>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</si>
  <si>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</si>
  <si>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</si>
  <si>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</si>
  <si>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</si>
  <si>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</si>
  <si>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</si>
  <si>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</si>
  <si>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</si>
  <si>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</si>
  <si>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</si>
  <si>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</si>
  <si>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</si>
  <si>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</si>
  <si>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</si>
  <si>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</si>
  <si>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</si>
  <si>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</si>
  <si>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</si>
  <si>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</si>
  <si>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</si>
  <si>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</si>
  <si>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</si>
  <si>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</si>
  <si>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</si>
  <si>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</si>
  <si>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</si>
  <si>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</si>
  <si>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</si>
  <si>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</si>
  <si>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</si>
  <si>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</si>
  <si>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</si>
  <si>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</si>
  <si>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</si>
  <si>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</si>
  <si>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</si>
  <si>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</si>
  <si>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</si>
  <si>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</si>
  <si>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</si>
  <si>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</si>
  <si>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</si>
  <si>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</si>
  <si>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</si>
  <si>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</si>
  <si>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</si>
  <si>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</si>
  <si>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</si>
  <si>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</si>
  <si>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</si>
  <si>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</si>
  <si>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</si>
  <si>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</si>
  <si>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</si>
  <si>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</si>
  <si>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</si>
  <si>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</si>
  <si>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</si>
  <si>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</si>
  <si>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</si>
  <si>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</si>
  <si>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</si>
  <si>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</si>
  <si>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</si>
  <si>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</si>
  <si>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</si>
  <si>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</si>
  <si>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</si>
  <si>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</si>
  <si>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</si>
  <si>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</si>
  <si>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</si>
  <si>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</si>
  <si>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</si>
  <si>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</si>
  <si>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</si>
  <si>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</si>
  <si>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</si>
  <si>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</si>
  <si>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</si>
  <si>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</si>
  <si>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</si>
  <si>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</si>
  <si>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</si>
  <si>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</si>
  <si>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</si>
  <si>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</si>
  <si>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</si>
  <si>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</si>
  <si>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</si>
  <si>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</si>
  <si>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</si>
  <si>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</si>
  <si>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</si>
  <si>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</si>
  <si>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</si>
  <si>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</si>
  <si>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</si>
  <si>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</si>
  <si>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</si>
  <si>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</si>
  <si>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</si>
  <si>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</si>
  <si>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</si>
  <si>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</si>
  <si>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</si>
  <si>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</si>
  <si>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</si>
  <si>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</si>
  <si>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</si>
  <si>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</si>
  <si>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</si>
  <si>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</si>
  <si>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</si>
  <si>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</si>
  <si>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</si>
  <si>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</si>
  <si>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</si>
  <si>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</si>
  <si>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</si>
  <si>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</si>
  <si>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</si>
  <si>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</si>
  <si>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</si>
  <si>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</si>
  <si>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</si>
  <si>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</si>
  <si>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</si>
  <si>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</si>
  <si>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</si>
  <si>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</si>
  <si>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</si>
  <si>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</si>
  <si>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</si>
  <si>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</si>
  <si>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</si>
  <si>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</si>
  <si>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</si>
  <si>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</si>
  <si>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</si>
  <si>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</si>
  <si>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</si>
  <si>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</si>
  <si>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</si>
  <si>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</si>
  <si>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</si>
  <si>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</si>
  <si>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</si>
  <si>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</si>
  <si>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</si>
  <si>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</si>
  <si>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</si>
  <si>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</si>
  <si>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</si>
  <si>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</si>
  <si>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</si>
  <si>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</si>
  <si>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</si>
  <si>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</si>
  <si>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</si>
  <si>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</si>
  <si>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</si>
  <si>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</si>
  <si>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</si>
  <si>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</si>
  <si>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</si>
  <si>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</si>
  <si>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</si>
  <si>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</si>
  <si>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</si>
  <si>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</si>
  <si>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</si>
  <si>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</si>
  <si>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</si>
  <si>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</si>
  <si>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</si>
  <si>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</si>
  <si>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</si>
  <si>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</si>
  <si>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</si>
  <si>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</si>
  <si>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</si>
  <si>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</si>
  <si>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</si>
  <si>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</si>
  <si>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</si>
  <si>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</si>
  <si>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</si>
  <si>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</si>
  <si>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</si>
  <si>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</si>
  <si>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</si>
  <si>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</si>
  <si>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</si>
  <si>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</si>
  <si>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</si>
  <si>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</si>
  <si>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</si>
  <si>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</si>
  <si>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</si>
  <si>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</si>
  <si>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</si>
  <si>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</si>
  <si>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</si>
  <si>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</si>
  <si>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</si>
  <si>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</si>
  <si>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</si>
  <si>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</si>
  <si>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</si>
  <si>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</si>
  <si>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</si>
  <si>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</si>
  <si>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</si>
  <si>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</si>
  <si>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</si>
  <si>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</si>
  <si>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</si>
  <si>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</si>
  <si>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</si>
  <si>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</si>
  <si>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</si>
  <si>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</si>
  <si>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</si>
  <si>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</si>
  <si>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</si>
  <si>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</si>
  <si>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</si>
  <si>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</si>
  <si>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</si>
  <si>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</si>
  <si>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</si>
  <si>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</si>
  <si>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</si>
  <si>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</si>
  <si>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</si>
  <si>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</si>
  <si>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</si>
  <si>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</si>
  <si>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</si>
  <si>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</si>
  <si>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</si>
  <si>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</si>
  <si>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</si>
  <si>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</si>
  <si>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</si>
  <si>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</si>
  <si>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</si>
  <si>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</si>
  <si>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</si>
  <si>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</si>
  <si>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</si>
  <si>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</si>
  <si>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</si>
  <si>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</si>
  <si>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</si>
  <si>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</si>
  <si>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</si>
  <si>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</si>
  <si>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</si>
  <si>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</si>
  <si>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</si>
  <si>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</si>
  <si>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</si>
  <si>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</si>
  <si>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</si>
  <si>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</si>
  <si>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</si>
  <si>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</si>
  <si>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</si>
  <si>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</si>
  <si>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</si>
  <si>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</si>
  <si>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</si>
  <si>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</si>
  <si>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</si>
  <si>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</si>
  <si>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</si>
  <si>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</si>
  <si>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</si>
  <si>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</si>
  <si>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</si>
  <si>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</si>
  <si>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</si>
  <si>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</si>
  <si>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</si>
  <si>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</si>
  <si>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</si>
  <si>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</si>
  <si>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</si>
  <si>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</si>
  <si>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</si>
  <si>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</si>
  <si>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</si>
  <si>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</si>
  <si>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</si>
  <si>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</si>
  <si>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</si>
  <si>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</si>
  <si>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</si>
  <si>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</si>
  <si>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</si>
  <si>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</si>
  <si>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</si>
  <si>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</si>
  <si>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</si>
  <si>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</si>
  <si>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</si>
  <si>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</si>
  <si>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</si>
  <si>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</si>
  <si>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</si>
  <si>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</si>
  <si>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</si>
  <si>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</si>
  <si>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</si>
  <si>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</si>
  <si>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</si>
  <si>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</si>
  <si>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</si>
  <si>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</si>
  <si>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</si>
  <si>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</si>
  <si>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</si>
  <si>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</si>
  <si>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</si>
  <si>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</si>
  <si>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</si>
  <si>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</si>
  <si>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</si>
  <si>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</si>
  <si>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</si>
  <si>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</si>
  <si>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</si>
  <si>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</si>
  <si>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</si>
  <si>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</si>
  <si>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</si>
  <si>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</si>
  <si>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</si>
  <si>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</si>
  <si>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</si>
  <si>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</si>
  <si>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</si>
  <si>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</si>
  <si>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</si>
  <si>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</si>
  <si>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</si>
  <si>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</si>
  <si>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</si>
  <si>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</si>
  <si>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</si>
  <si>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</si>
  <si>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</si>
  <si>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</si>
  <si>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</si>
  <si>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</si>
  <si>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</si>
  <si>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</si>
  <si>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</si>
  <si>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</si>
  <si>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</si>
  <si>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</si>
  <si>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</si>
  <si>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</si>
  <si>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</si>
  <si>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</si>
  <si>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</si>
  <si>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</si>
  <si>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</si>
  <si>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</si>
  <si>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</si>
  <si>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</si>
  <si>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</si>
  <si>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</si>
  <si>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</si>
  <si>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</si>
  <si>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</si>
  <si>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</si>
  <si>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</si>
  <si>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</si>
  <si>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</si>
  <si>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</si>
  <si>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</si>
  <si>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</si>
  <si>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</si>
  <si>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</si>
  <si>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</si>
  <si>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</si>
  <si>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</si>
  <si>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</si>
  <si>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</si>
  <si>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</si>
  <si>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</si>
  <si>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</si>
  <si>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</si>
  <si>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</si>
  <si>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</si>
  <si>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</si>
  <si>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</si>
  <si>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</si>
  <si>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</si>
  <si>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</si>
  <si>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</si>
  <si>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</si>
  <si>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</si>
  <si>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</si>
  <si>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</si>
  <si>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</si>
  <si>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</si>
  <si>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</si>
  <si>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</si>
  <si>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</si>
  <si>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</si>
  <si>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</si>
  <si>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</si>
  <si>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</si>
  <si>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</si>
  <si>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</si>
  <si>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</si>
  <si>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</si>
  <si>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</si>
  <si>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</si>
  <si>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</si>
  <si>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</si>
  <si>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</si>
  <si>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</si>
  <si>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</si>
  <si>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</si>
  <si>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</si>
  <si>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</si>
  <si>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</si>
  <si>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</si>
  <si>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</si>
  <si>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</si>
  <si>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</si>
  <si>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</si>
  <si>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</si>
  <si>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</si>
  <si>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</si>
  <si>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</si>
  <si>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</si>
  <si>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</si>
  <si>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</si>
  <si>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</si>
  <si>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</si>
  <si>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</si>
  <si>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</si>
  <si>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</si>
  <si>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</si>
  <si>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</si>
  <si>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</si>
  <si>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</si>
  <si>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</si>
  <si>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</si>
  <si>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</si>
  <si>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</si>
  <si>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</si>
  <si>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</si>
  <si>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</si>
  <si>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</si>
  <si>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</si>
  <si>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</si>
  <si>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</si>
  <si>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</si>
  <si>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</si>
  <si>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</si>
  <si>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</si>
  <si>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</si>
  <si>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</si>
  <si>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</si>
  <si>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</si>
  <si>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</si>
  <si>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</si>
  <si>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</si>
  <si>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</si>
  <si>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</si>
  <si>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</si>
  <si>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</si>
  <si>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</si>
  <si>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</si>
  <si>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</si>
  <si>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</si>
  <si>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</si>
  <si>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</si>
  <si>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</si>
  <si>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</si>
  <si>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</si>
  <si>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</si>
  <si>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</si>
  <si>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</si>
  <si>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</si>
  <si>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</si>
  <si>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</si>
  <si>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</si>
  <si>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</si>
  <si>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</si>
  <si>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</si>
  <si>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</si>
  <si>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</si>
  <si>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</si>
  <si>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</si>
  <si>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</si>
  <si>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</si>
  <si>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</si>
  <si>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</si>
  <si>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</si>
  <si>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</si>
  <si>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</si>
  <si>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</si>
  <si>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</si>
  <si>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</si>
  <si>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</si>
  <si>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</si>
  <si>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</si>
  <si>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</si>
  <si>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</si>
  <si>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</si>
  <si>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</si>
  <si>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</si>
  <si>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</si>
  <si>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</si>
  <si>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</si>
  <si>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</si>
  <si>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</si>
  <si>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</si>
  <si>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</si>
  <si>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</si>
  <si>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</si>
  <si>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</si>
  <si>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</si>
  <si>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</si>
  <si>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</si>
  <si>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</si>
  <si>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</si>
  <si>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</si>
  <si>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</si>
  <si>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</si>
  <si>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</si>
  <si>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</si>
  <si>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</si>
  <si>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</si>
  <si>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</si>
  <si>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</si>
  <si>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</si>
  <si>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</si>
  <si>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</si>
  <si>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</si>
  <si>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</si>
  <si>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</si>
  <si>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</si>
  <si>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</si>
  <si>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</si>
  <si>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</si>
  <si>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</si>
  <si>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</si>
  <si>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</si>
  <si>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</si>
  <si>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</si>
  <si>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</si>
  <si>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</si>
  <si>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</si>
  <si>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</si>
  <si>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</si>
  <si>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</si>
  <si>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</si>
  <si>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</si>
  <si>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</si>
  <si>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</si>
  <si>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</si>
  <si>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</si>
  <si>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</si>
  <si>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</si>
  <si>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</si>
  <si>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</si>
  <si>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</si>
  <si>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</si>
  <si>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</si>
  <si>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</si>
  <si>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</si>
  <si>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</si>
  <si>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</si>
  <si>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</si>
  <si>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</si>
  <si>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</si>
  <si>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</si>
  <si>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</si>
  <si>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</si>
  <si>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</si>
  <si>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</si>
  <si>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</si>
  <si>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</si>
  <si>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</si>
  <si>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</si>
  <si>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</si>
  <si>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</si>
  <si>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</si>
  <si>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</si>
  <si>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</si>
  <si>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</si>
  <si>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</si>
  <si>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</si>
  <si>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</si>
  <si>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</si>
  <si>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</si>
  <si>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</si>
  <si>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</si>
  <si>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</si>
  <si>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</si>
  <si>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</si>
  <si>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</si>
  <si>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</si>
  <si>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</si>
  <si>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</si>
  <si>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</si>
  <si>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</si>
  <si>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</si>
  <si>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</si>
  <si>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</si>
  <si>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</si>
  <si>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</si>
  <si>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</si>
  <si>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</si>
  <si>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</si>
  <si>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</si>
  <si>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</si>
  <si>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</si>
  <si>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</si>
  <si>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</si>
  <si>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</si>
  <si>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</si>
  <si>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</si>
  <si>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</si>
  <si>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</si>
  <si>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</si>
  <si>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</si>
  <si>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</si>
  <si>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</si>
  <si>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</si>
  <si>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</si>
  <si>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</si>
  <si>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</si>
  <si>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</si>
  <si>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</si>
  <si>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</si>
  <si>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</si>
  <si>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</si>
  <si>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</si>
  <si>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</si>
  <si>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</si>
  <si>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</si>
  <si>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</si>
  <si>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</si>
  <si>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</si>
  <si>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</si>
  <si>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</si>
  <si>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</si>
  <si>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</si>
  <si>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</si>
  <si>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</si>
  <si>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</si>
  <si>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</si>
  <si>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</si>
  <si>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</si>
  <si>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</si>
  <si>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</si>
  <si>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</si>
  <si>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</si>
  <si>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</si>
  <si>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</si>
  <si>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</si>
  <si>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</si>
  <si>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</si>
  <si>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</si>
  <si>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</si>
  <si>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</si>
  <si>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</si>
  <si>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</si>
  <si>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</si>
  <si>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</si>
  <si>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</si>
  <si>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</si>
  <si>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</si>
  <si>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</si>
  <si>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</si>
  <si>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</si>
  <si>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</si>
  <si>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</si>
  <si>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</si>
  <si>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</si>
  <si>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</si>
  <si>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</si>
  <si>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</si>
  <si>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</si>
  <si>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</si>
  <si>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</si>
  <si>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</si>
  <si>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</si>
  <si>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</si>
  <si>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</si>
  <si>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</si>
  <si>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</si>
  <si>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</si>
  <si>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</si>
  <si>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</si>
  <si>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</si>
  <si>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</si>
  <si>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</si>
  <si>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</si>
  <si>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</si>
  <si>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</si>
  <si>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</si>
  <si>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</si>
  <si>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</si>
  <si>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</si>
  <si>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</si>
  <si>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</si>
  <si>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</si>
  <si>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</si>
  <si>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</si>
  <si>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</si>
  <si>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</si>
  <si>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</si>
  <si>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</si>
  <si>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</si>
  <si>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</si>
  <si>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</si>
  <si>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</si>
  <si>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</si>
  <si>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</si>
  <si>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</si>
  <si>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</si>
  <si>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</si>
  <si>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</si>
  <si>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</si>
  <si>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</si>
  <si>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</si>
  <si>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</si>
  <si>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</si>
  <si>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</si>
  <si>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</si>
  <si>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</si>
  <si>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</si>
  <si>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</si>
  <si>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</si>
  <si>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</si>
  <si>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</si>
  <si>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</si>
  <si>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</si>
  <si>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</si>
  <si>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</si>
  <si>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</si>
  <si>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</si>
  <si>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</si>
  <si>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</si>
  <si>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</si>
  <si>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</si>
  <si>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</si>
  <si>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</si>
  <si>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</si>
  <si>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</si>
  <si>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</si>
  <si>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</si>
  <si>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</si>
  <si>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</si>
  <si>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</si>
  <si>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</si>
  <si>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</si>
  <si>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</si>
  <si>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</si>
  <si>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</si>
  <si>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</si>
  <si>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</si>
  <si>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</si>
  <si>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</si>
  <si>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</si>
  <si>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</si>
  <si>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</si>
  <si>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</si>
  <si>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</si>
  <si>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</si>
  <si>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</si>
  <si>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</si>
  <si>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</si>
  <si>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</si>
  <si>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</si>
  <si>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</si>
  <si>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</si>
  <si>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</si>
  <si>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</si>
  <si>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</si>
  <si>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</si>
  <si>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</si>
  <si>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</si>
  <si>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</si>
  <si>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</si>
  <si>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</si>
  <si>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</si>
  <si>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</si>
  <si>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</si>
  <si>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</si>
  <si>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</si>
  <si>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</si>
  <si>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</si>
  <si>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</si>
  <si>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</si>
  <si>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</si>
  <si>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</si>
  <si>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</si>
  <si>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</si>
  <si>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</si>
  <si>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</si>
  <si>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</si>
  <si>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</si>
  <si>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</si>
  <si>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</si>
  <si>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</si>
  <si>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</si>
  <si>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</si>
  <si>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</si>
  <si>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</si>
  <si>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</si>
  <si>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</si>
  <si>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</si>
  <si>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</si>
  <si>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</si>
  <si>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</si>
  <si>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</si>
  <si>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</si>
  <si>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</si>
  <si>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</si>
  <si>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</si>
  <si>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</si>
  <si>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</si>
  <si>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</si>
  <si>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</si>
  <si>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</si>
  <si>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</si>
  <si>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</si>
  <si>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</si>
  <si>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</si>
  <si>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</si>
  <si>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</si>
  <si>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</si>
  <si>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</si>
  <si>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</si>
  <si>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</si>
  <si>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</si>
  <si>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</si>
  <si>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</si>
  <si>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</si>
  <si>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</si>
  <si>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</si>
  <si>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</si>
  <si>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</si>
  <si>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</si>
  <si>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</si>
  <si>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</si>
  <si>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</si>
  <si>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</si>
  <si>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</si>
  <si>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</si>
  <si>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</si>
  <si>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</si>
  <si>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</si>
  <si>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</si>
  <si>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</si>
  <si>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</si>
  <si>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</si>
  <si>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</si>
  <si>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</si>
  <si>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</si>
  <si>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</si>
  <si>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</si>
  <si>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</si>
  <si>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</si>
  <si>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</si>
  <si>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</si>
  <si>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</si>
  <si>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</si>
  <si>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</si>
  <si>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</si>
  <si>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</si>
  <si>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</si>
  <si>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</si>
  <si>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</si>
  <si>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</si>
  <si>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</si>
  <si>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</si>
  <si>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</si>
  <si>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</si>
  <si>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</si>
  <si>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</si>
  <si>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</si>
  <si>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</si>
  <si>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</si>
  <si>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</si>
  <si>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</si>
  <si>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</si>
  <si>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</si>
  <si>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</si>
  <si>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</si>
  <si>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</si>
  <si>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</si>
  <si>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</si>
  <si>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</si>
  <si>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</si>
  <si>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</si>
  <si>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</si>
  <si>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</si>
  <si>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</si>
  <si>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</si>
  <si>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</si>
  <si>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</si>
  <si>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</si>
  <si>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</si>
  <si>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</si>
  <si>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</si>
  <si>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</si>
  <si>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</si>
  <si>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</si>
  <si>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</si>
  <si>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</si>
  <si>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</si>
  <si>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</si>
  <si>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</si>
  <si>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</si>
  <si>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</si>
  <si>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</si>
  <si>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</si>
  <si>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</si>
  <si>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</si>
  <si>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</si>
  <si>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</si>
  <si>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</si>
  <si>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</si>
  <si>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</si>
  <si>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</si>
  <si>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</si>
  <si>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</si>
  <si>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</si>
  <si>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</si>
  <si>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</si>
  <si>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</si>
  <si>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</si>
  <si>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</si>
  <si>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</si>
  <si>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</si>
  <si>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</si>
  <si>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</si>
  <si>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</si>
  <si>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</si>
  <si>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</si>
  <si>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</si>
  <si>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</si>
  <si>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</si>
  <si>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</si>
  <si>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</si>
  <si>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</si>
  <si>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</si>
  <si>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</si>
  <si>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</si>
  <si>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</si>
  <si>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</si>
  <si>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</si>
  <si>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</si>
  <si>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</si>
  <si>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</si>
  <si>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</si>
  <si>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</si>
  <si>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</si>
  <si>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</si>
  <si>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</si>
  <si>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</si>
  <si>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</si>
  <si>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</si>
  <si>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</si>
  <si>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</si>
  <si>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</si>
  <si>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</si>
  <si>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</si>
  <si>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</si>
  <si>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</si>
  <si>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</si>
  <si>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</si>
  <si>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</si>
  <si>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</si>
  <si>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</si>
  <si>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</si>
  <si>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</si>
  <si>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</si>
  <si>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</si>
  <si>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</si>
  <si>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</si>
  <si>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</si>
  <si>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</si>
  <si>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</si>
  <si>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</si>
  <si>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</si>
  <si>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</si>
  <si>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</si>
  <si>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</si>
  <si>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</si>
  <si>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</si>
  <si>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</si>
  <si>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</si>
  <si>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</si>
  <si>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</si>
  <si>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</si>
  <si>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</si>
  <si>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</si>
  <si>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</si>
  <si>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</si>
  <si>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</si>
  <si>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D1-3r, C1-3r</t>
  </si>
  <si>
    <t>Celastrus cf. scandens</t>
  </si>
  <si>
    <t>Exotic Lonicera spp.</t>
  </si>
  <si>
    <t>G1-3i</t>
  </si>
  <si>
    <t>H1-3p</t>
  </si>
  <si>
    <t>Drymocallis arguta</t>
  </si>
  <si>
    <t>Symphyotrichum cf. ericoides</t>
  </si>
  <si>
    <t>Unknown forb</t>
  </si>
  <si>
    <t>WWRP22022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</si>
</sst>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9" fillId="0" borderId="25" xfId="1" applyFont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238" zoomScale="70" zoomScaleNormal="70" workbookViewId="0">
      <selection activeCell="A2258" sqref="A2258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5443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4814</v>
      </c>
      <c r="B12" s="44" t="str">
        <f>IF(LEN(VLOOKUP(A12,'Species List'!$A:$G,2,FALSE))=0,"",VLOOKUP(A12,'Species List'!$A:$G,2,FALSE))</f>
        <v>prickly ash</v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0">
        <f t="shared" ref="N12:N77" si="2">L12/$L$153</f>
        <v>5.2631578947368418E-2</v>
      </c>
      <c r="O12" s="110">
        <f t="shared" ref="O12:O13" si="3">D12*N12</f>
        <v>0.15789473684210525</v>
      </c>
    </row>
    <row r="13" spans="1:15" x14ac:dyDescent="0.2">
      <c r="A13" s="124" t="s">
        <v>3643</v>
      </c>
      <c r="B13" s="44" t="str">
        <f>IF(LEN(VLOOKUP(A13,'Species List'!$A:$G,2,FALSE))=0,"",VLOOKUP(A13,'Species List'!$A:$G,2,FALSE))</f>
        <v>wild plum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UPL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5.2631578947368418E-2</v>
      </c>
      <c r="O13" s="110">
        <f t="shared" si="3"/>
        <v>0.15789473684210525</v>
      </c>
    </row>
    <row r="14" spans="1:15" x14ac:dyDescent="0.2">
      <c r="A14" s="124" t="s">
        <v>3855</v>
      </c>
      <c r="B14" s="44" t="str">
        <f>IF(LEN(VLOOKUP(A14,'Species List'!$A:$G,2,FALSE))=0,"",VLOOKUP(A14,'Species List'!$A:$G,2,FALSE))</f>
        <v>black raspberry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5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5.2631578947368418E-2</v>
      </c>
      <c r="O14" s="85">
        <f>D14*N14</f>
        <v>0.10526315789473684</v>
      </c>
    </row>
    <row r="15" spans="1:15" x14ac:dyDescent="0.2">
      <c r="A15" s="124" t="s">
        <v>4597</v>
      </c>
      <c r="B15" s="44" t="str">
        <f>IF(LEN(VLOOKUP(A15,'Species List'!$A:$G,2,FALSE))=0,"",VLOOKUP(A15,'Species List'!$A:$G,2,FALSE))</f>
        <v>Siberian elm</v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25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5.2631578947368418E-2</v>
      </c>
      <c r="O15" s="98">
        <f t="shared" ref="O15:O78" si="6">D15*N15</f>
        <v>0</v>
      </c>
    </row>
    <row r="16" spans="1:15" x14ac:dyDescent="0.2">
      <c r="A16" s="124" t="s">
        <v>5445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5.2631578947368418E-2</v>
      </c>
      <c r="O16" s="98">
        <f t="shared" si="6"/>
        <v>0</v>
      </c>
    </row>
    <row r="17" spans="1:15" x14ac:dyDescent="0.2">
      <c r="A17" s="124" t="s">
        <v>1460</v>
      </c>
      <c r="B17" s="44" t="str">
        <f>IF(LEN(VLOOKUP(A17,'Species List'!$A:$G,2,FALSE))=0,"",VLOOKUP(A17,'Species List'!$A:$G,2,FALSE))</f>
        <v>gray dogwood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[FACW-]</v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5.2631578947368418E-2</v>
      </c>
      <c r="O17" s="98">
        <f t="shared" si="6"/>
        <v>0.10526315789473684</v>
      </c>
    </row>
    <row r="18" spans="1:15" x14ac:dyDescent="0.2">
      <c r="A18" s="124" t="s">
        <v>162</v>
      </c>
      <c r="B18" s="44" t="str">
        <f>IF(LEN(VLOOKUP(A18,'Species List'!$A:$G,2,FALSE))=0,"",VLOOKUP(A18,'Species List'!$A:$G,2,FALSE))</f>
        <v>box elder</v>
      </c>
      <c r="C18" s="44">
        <f>IF(LEN(VLOOKUP(A18,'Species List'!$A:$G,3,FALSE))=0,"",VLOOKUP(A18,'Species List'!$A:$G,3,FALSE))</f>
        <v>1</v>
      </c>
      <c r="D18" s="99">
        <f t="shared" si="4"/>
        <v>1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5.2631578947368418E-2</v>
      </c>
      <c r="O18" s="98">
        <f t="shared" si="6"/>
        <v>5.2631578947368418E-2</v>
      </c>
    </row>
    <row r="19" spans="1:15" x14ac:dyDescent="0.2">
      <c r="A19" s="124" t="s">
        <v>3819</v>
      </c>
      <c r="B19" s="44" t="str">
        <f>IF(LEN(VLOOKUP(A19,'Species List'!$A:$G,2,FALSE))=0,"",VLOOKUP(A19,'Species List'!$A:$G,2,FALSE))</f>
        <v>prairie rose</v>
      </c>
      <c r="C19" s="44">
        <f>IF(LEN(VLOOKUP(A19,'Species List'!$A:$G,3,FALSE))=0,"",VLOOKUP(A19,'Species List'!$A:$G,3,FALSE))</f>
        <v>5</v>
      </c>
      <c r="D19" s="99">
        <f t="shared" si="4"/>
        <v>5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5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0.26315789473684209</v>
      </c>
      <c r="O19" s="98">
        <f t="shared" si="6"/>
        <v>1.3157894736842104</v>
      </c>
    </row>
    <row r="20" spans="1:15" x14ac:dyDescent="0.2">
      <c r="A20" s="124" t="s">
        <v>3848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5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5.2631578947368418E-2</v>
      </c>
      <c r="O20" s="98">
        <f t="shared" si="6"/>
        <v>0.15789473684210525</v>
      </c>
    </row>
    <row r="21" spans="1:15" x14ac:dyDescent="0.2">
      <c r="A21" s="124" t="s">
        <v>5444</v>
      </c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5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0.26315789473684209</v>
      </c>
      <c r="O21" s="98" t="e">
        <f t="shared" si="6"/>
        <v>#N/A</v>
      </c>
    </row>
    <row r="22" spans="1:15" x14ac:dyDescent="0.2">
      <c r="A22" s="124" t="s">
        <v>5422</v>
      </c>
      <c r="B22" s="44" t="str">
        <f>IF(LEN(VLOOKUP(A22,'Species List'!$A:$G,2,FALSE))=0,"",VLOOKUP(A22,'Species List'!$A:$G,2,FALSE))</f>
        <v>woodbine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C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5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5.2631578947368418E-2</v>
      </c>
      <c r="O22" s="98">
        <f t="shared" si="6"/>
        <v>0.10526315789473684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57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5447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228</v>
      </c>
      <c r="B12" s="44" t="str">
        <f>IF(LEN(VLOOKUP(A12,'Species List'!$A:$G,2,FALSE))=0,"",VLOOKUP(A12,'Species List'!$A:$G,2,FALSE))</f>
        <v>blue giant hyssop</v>
      </c>
      <c r="C12" s="44">
        <f>IF(LEN(VLOOKUP(A12,'Species List'!$A:$G,3,FALSE))=0,"",VLOOKUP(A12,'Species List'!$A:$G,3,FALSE))</f>
        <v>6</v>
      </c>
      <c r="D12" s="99">
        <f t="shared" ref="D12:D13" si="0"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10">
        <f t="shared" ref="N12:N13" si="2">L12/$L$153</f>
        <v>0.13100436681222707</v>
      </c>
      <c r="O12" s="110">
        <f t="shared" ref="O12:O13" si="3">D12*N12</f>
        <v>0.7860262008733625</v>
      </c>
    </row>
    <row r="13" spans="1:15" x14ac:dyDescent="0.2">
      <c r="A13" s="124" t="s">
        <v>515</v>
      </c>
      <c r="B13" s="44" t="str">
        <f>IF(LEN(VLOOKUP(A13,'Species List'!$A:$G,2,FALSE))=0,"",VLOOKUP(A13,'Species List'!$A:$G,2,FALSE))</f>
        <v>tarragon</v>
      </c>
      <c r="C13" s="44">
        <f>IF(LEN(VLOOKUP(A13,'Species List'!$A:$G,3,FALSE))=0,"",VLOOKUP(A13,'Species List'!$A:$G,3,FALSE))</f>
        <v>7</v>
      </c>
      <c r="D13" s="99">
        <f t="shared" si="0"/>
        <v>7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0">
        <f t="shared" si="2"/>
        <v>0.13100436681222707</v>
      </c>
      <c r="O13" s="110">
        <f t="shared" si="3"/>
        <v>0.91703056768558955</v>
      </c>
    </row>
    <row r="14" spans="1:15" x14ac:dyDescent="0.2">
      <c r="A14" s="124" t="s">
        <v>4515</v>
      </c>
      <c r="B14" s="44" t="str">
        <f>IF(LEN(VLOOKUP(A14,'Species List'!$A:$G,2,FALSE))=0,"",VLOOKUP(A14,'Species List'!$A:$G,2,FALSE))</f>
        <v>western poison ivy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0.13100436681222707</v>
      </c>
      <c r="O14" s="85">
        <f>D14*N14</f>
        <v>0.13100436681222707</v>
      </c>
    </row>
    <row r="15" spans="1:15" x14ac:dyDescent="0.2">
      <c r="A15" s="124" t="s">
        <v>2946</v>
      </c>
      <c r="B15" s="44" t="str">
        <f>IF(LEN(VLOOKUP(A15,'Species List'!$A:$G,2,FALSE))=0,"",VLOOKUP(A15,'Species List'!$A:$G,2,FALSE))</f>
        <v>wild bergamot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2.6200873362445413E-2</v>
      </c>
      <c r="O15" s="98">
        <f t="shared" ref="O15:O78" si="7">D15*N15</f>
        <v>7.8602620087336234E-2</v>
      </c>
    </row>
    <row r="16" spans="1:15" x14ac:dyDescent="0.2">
      <c r="A16" s="124" t="s">
        <v>186</v>
      </c>
      <c r="B16" s="44" t="str">
        <f>IF(LEN(VLOOKUP(A16,'Species List'!$A:$G,2,FALSE))=0,"",VLOOKUP(A16,'Species List'!$A:$G,2,FALSE))</f>
        <v>common yarrow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2.6200873362445413E-2</v>
      </c>
      <c r="O16" s="98">
        <f t="shared" si="7"/>
        <v>2.6200873362445413E-2</v>
      </c>
    </row>
    <row r="17" spans="1:15" x14ac:dyDescent="0.2">
      <c r="A17" s="124" t="s">
        <v>437</v>
      </c>
      <c r="B17" s="44" t="str">
        <f>IF(LEN(VLOOKUP(A17,'Species List'!$A:$G,2,FALSE))=0,"",VLOOKUP(A17,'Species List'!$A:$G,2,FALSE))</f>
        <v>American hemp</v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2.6200873362445413E-2</v>
      </c>
      <c r="O17" s="98">
        <f t="shared" si="7"/>
        <v>7.8602620087336234E-2</v>
      </c>
    </row>
    <row r="18" spans="1:15" x14ac:dyDescent="0.2">
      <c r="A18" s="124" t="s">
        <v>2349</v>
      </c>
      <c r="B18" s="44" t="str">
        <f>IF(LEN(VLOOKUP(A18,'Species List'!$A:$G,2,FALSE))=0,"",VLOOKUP(A18,'Species List'!$A:$G,2,FALSE))</f>
        <v>Jerusalem artichoke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5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98">
        <f t="shared" si="6"/>
        <v>0.13100436681222707</v>
      </c>
      <c r="O18" s="98">
        <f t="shared" si="7"/>
        <v>0.26200873362445415</v>
      </c>
    </row>
    <row r="19" spans="1:15" x14ac:dyDescent="0.2">
      <c r="A19" s="124" t="s">
        <v>4219</v>
      </c>
      <c r="B19" s="44" t="str">
        <f>IF(LEN(VLOOKUP(A19,'Species List'!$A:$G,2,FALSE))=0,"",VLOOKUP(A19,'Species List'!$A:$G,2,FALSE))</f>
        <v>giant goldenrod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5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2.6200873362445413E-2</v>
      </c>
      <c r="O19" s="98">
        <f t="shared" si="7"/>
        <v>7.8602620087336234E-2</v>
      </c>
    </row>
    <row r="20" spans="1:15" x14ac:dyDescent="0.2">
      <c r="A20" s="124" t="s">
        <v>4210</v>
      </c>
      <c r="B20" s="44" t="str">
        <f>IF(LEN(VLOOKUP(A20,'Species List'!$A:$G,2,FALSE))=0,"",VLOOKUP(A20,'Species List'!$A:$G,2,FALSE))</f>
        <v>late goldenrod</v>
      </c>
      <c r="C20" s="44">
        <f>IF(LEN(VLOOKUP(A20,'Species List'!$A:$G,3,FALSE))=0,"",VLOOKUP(A20,'Species List'!$A:$G,3,FALSE))</f>
        <v>1</v>
      </c>
      <c r="D20" s="99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5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2.6200873362445413E-2</v>
      </c>
      <c r="O20" s="98">
        <f t="shared" si="7"/>
        <v>2.6200873362445413E-2</v>
      </c>
    </row>
    <row r="21" spans="1:15" x14ac:dyDescent="0.2">
      <c r="A21" s="124" t="s">
        <v>5430</v>
      </c>
      <c r="B21" s="44" t="str">
        <f>IF(LEN(VLOOKUP(A21,'Species List'!$A:$G,2,FALSE))=0,"",VLOOKUP(A21,'Species List'!$A:$G,2,FALSE))</f>
        <v>tall thimbleweed</v>
      </c>
      <c r="C21" s="44">
        <f>IF(LEN(VLOOKUP(A21,'Species List'!$A:$G,3,FALSE))=0,"",VLOOKUP(A21,'Species List'!$A:$G,3,FALSE))</f>
        <v>5</v>
      </c>
      <c r="D21" s="99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5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2.6200873362445413E-2</v>
      </c>
      <c r="O21" s="98">
        <f t="shared" si="7"/>
        <v>0.13100436681222707</v>
      </c>
    </row>
    <row r="22" spans="1:15" x14ac:dyDescent="0.2">
      <c r="A22" s="124" t="s">
        <v>5437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5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2.6200873362445413E-2</v>
      </c>
      <c r="O22" s="98">
        <f t="shared" si="7"/>
        <v>0</v>
      </c>
    </row>
    <row r="23" spans="1:15" x14ac:dyDescent="0.2">
      <c r="A23" s="124" t="s">
        <v>4466</v>
      </c>
      <c r="B23" s="44" t="str">
        <f>IF(LEN(VLOOKUP(A23,'Species List'!$A:$G,2,FALSE))=0,"",VLOOKUP(A23,'Species List'!$A:$G,2,FALSE))</f>
        <v>common dandelion</v>
      </c>
      <c r="C23" s="44">
        <f>IF(LEN(VLOOKUP(A23,'Species List'!$A:$G,3,FALSE))=0,"",VLOOKUP(A23,'Species List'!$A:$G,3,FALSE))</f>
        <v>0</v>
      </c>
      <c r="D23" s="99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5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2.6200873362445413E-2</v>
      </c>
      <c r="O23" s="98">
        <f t="shared" si="7"/>
        <v>0</v>
      </c>
    </row>
    <row r="24" spans="1:15" x14ac:dyDescent="0.2">
      <c r="A24" s="124" t="s">
        <v>1419</v>
      </c>
      <c r="B24" s="44" t="str">
        <f>IF(LEN(VLOOKUP(A24,'Species List'!$A:$G,2,FALSE))=0,"",VLOOKUP(A24,'Species List'!$A:$G,2,FALSE))</f>
        <v>horseweed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2.6200873362445413E-2</v>
      </c>
      <c r="O24" s="98">
        <f t="shared" si="7"/>
        <v>0</v>
      </c>
    </row>
    <row r="25" spans="1:15" x14ac:dyDescent="0.2">
      <c r="A25" s="124" t="s">
        <v>643</v>
      </c>
      <c r="B25" s="44" t="str">
        <f>IF(LEN(VLOOKUP(A25,'Species List'!$A:$G,2,FALSE))=0,"",VLOOKUP(A25,'Species List'!$A:$G,2,FALSE))</f>
        <v>hoary alyssum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2.6200873362445413E-2</v>
      </c>
      <c r="O25" s="98">
        <f t="shared" si="7"/>
        <v>0</v>
      </c>
    </row>
    <row r="26" spans="1:15" x14ac:dyDescent="0.2">
      <c r="A26" s="124" t="s">
        <v>320</v>
      </c>
      <c r="B26" s="44" t="str">
        <f>IF(LEN(VLOOKUP(A26,'Species List'!$A:$G,2,FALSE))=0,"",VLOOKUP(A26,'Species List'!$A:$G,2,FALSE))</f>
        <v>common ragweed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5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2.6200873362445413E-2</v>
      </c>
      <c r="O26" s="98">
        <f t="shared" si="7"/>
        <v>0</v>
      </c>
    </row>
    <row r="27" spans="1:15" x14ac:dyDescent="0.2">
      <c r="A27" s="124" t="s">
        <v>5448</v>
      </c>
      <c r="B27" s="44" t="e">
        <f>IF(LEN(VLOOKUP(A27,'Species List'!$A:$G,2,FALSE))=0,"",VLOOKUP(A27,'Species List'!$A:$G,2,FALSE))</f>
        <v>#N/A</v>
      </c>
      <c r="C27" s="44">
        <v>7</v>
      </c>
      <c r="D27" s="99">
        <f t="shared" si="4"/>
        <v>7</v>
      </c>
      <c r="E27" s="44" t="s">
        <v>149</v>
      </c>
      <c r="F27" s="44" t="s">
        <v>147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2.6200873362445413E-2</v>
      </c>
      <c r="O27" s="98">
        <f t="shared" si="7"/>
        <v>0.18340611353711789</v>
      </c>
    </row>
    <row r="28" spans="1:15" x14ac:dyDescent="0.2">
      <c r="A28" s="124" t="s">
        <v>518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3</v>
      </c>
      <c r="D28" s="99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UPL</v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2.6200873362445413E-2</v>
      </c>
      <c r="O28" s="98">
        <f t="shared" si="7"/>
        <v>7.8602620087336234E-2</v>
      </c>
    </row>
    <row r="29" spans="1:15" x14ac:dyDescent="0.2">
      <c r="A29" s="124" t="s">
        <v>3149</v>
      </c>
      <c r="B29" s="44" t="str">
        <f>IF(LEN(VLOOKUP(A29,'Species List'!$A:$G,2,FALSE))=0,"",VLOOKUP(A29,'Species List'!$A:$G,2,FALSE))</f>
        <v>yellow wood sorrel</v>
      </c>
      <c r="C29" s="44">
        <f>IF(LEN(VLOOKUP(A29,'Species List'!$A:$G,3,FALSE))=0,"",VLOOKUP(A29,'Species List'!$A:$G,3,FALSE))</f>
        <v>0</v>
      </c>
      <c r="D29" s="99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[FACU]</v>
      </c>
      <c r="H29" s="44">
        <f>VLOOKUP(A29,'Species List'!$A:$G,7,FALSE)</f>
        <v>0</v>
      </c>
      <c r="J29" s="125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2.6200873362445413E-2</v>
      </c>
      <c r="O29" s="98">
        <f t="shared" si="7"/>
        <v>0</v>
      </c>
    </row>
    <row r="30" spans="1:15" x14ac:dyDescent="0.2">
      <c r="A30" s="124" t="s">
        <v>5449</v>
      </c>
      <c r="B30" s="44" t="e">
        <f>IF(LEN(VLOOKUP(A30,'Species List'!$A:$G,2,FALSE))=0,"",VLOOKUP(A30,'Species List'!$A:$G,2,FALSE))</f>
        <v>#N/A</v>
      </c>
      <c r="C30" s="44">
        <v>1</v>
      </c>
      <c r="D30" s="99">
        <f t="shared" si="4"/>
        <v>1</v>
      </c>
      <c r="E30" s="44" t="s">
        <v>149</v>
      </c>
      <c r="F30" s="44" t="s">
        <v>147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5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2.6200873362445413E-2</v>
      </c>
      <c r="O30" s="98">
        <f t="shared" si="7"/>
        <v>2.6200873362445413E-2</v>
      </c>
    </row>
    <row r="31" spans="1:15" x14ac:dyDescent="0.2">
      <c r="A31" s="124" t="s">
        <v>5426</v>
      </c>
      <c r="B31" s="44" t="str">
        <f>IF(LEN(VLOOKUP(A31,'Species List'!$A:$G,2,FALSE))=0,"",VLOOKUP(A31,'Species List'!$A:$G,2,FALSE))</f>
        <v>white lamb's quarters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2.6200873362445413E-2</v>
      </c>
      <c r="O31" s="98">
        <f t="shared" si="7"/>
        <v>0</v>
      </c>
    </row>
    <row r="32" spans="1:15" x14ac:dyDescent="0.2">
      <c r="A32" s="124" t="s">
        <v>2846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5</v>
      </c>
      <c r="D32" s="99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5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4.3668122270742356E-3</v>
      </c>
      <c r="O32" s="98">
        <f t="shared" si="7"/>
        <v>2.1834061135371178E-2</v>
      </c>
    </row>
    <row r="33" spans="1:15" x14ac:dyDescent="0.2">
      <c r="A33" s="124" t="s">
        <v>4137</v>
      </c>
      <c r="B33" s="44" t="str">
        <f>IF(LEN(VLOOKUP(A33,'Species List'!$A:$G,2,FALSE))=0,"",VLOOKUP(A33,'Species List'!$A:$G,2,FALSE))</f>
        <v>sleepy catchfly</v>
      </c>
      <c r="C33" s="44">
        <f>IF(LEN(VLOOKUP(A33,'Species List'!$A:$G,3,FALSE))=0,"",VLOOKUP(A33,'Species List'!$A:$G,3,FALSE))</f>
        <v>2</v>
      </c>
      <c r="D33" s="99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5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2.6200873362445413E-2</v>
      </c>
      <c r="O33" s="98">
        <f t="shared" si="7"/>
        <v>5.2401746724890827E-2</v>
      </c>
    </row>
    <row r="34" spans="1:15" x14ac:dyDescent="0.2">
      <c r="A34" s="124" t="s">
        <v>5450</v>
      </c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5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2.6200873362445413E-2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7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114.5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5446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783</v>
      </c>
      <c r="B12" s="44" t="str">
        <f>IF(LEN(VLOOKUP(A12,'Species List'!$A:$G,2,FALSE))=0,"",VLOOKUP(A12,'Species List'!$A:$G,2,FALSE))</f>
        <v>smooth brome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78" si="1">VALUE(L12)</f>
        <v>62.5</v>
      </c>
      <c r="N12" s="110">
        <f t="shared" ref="N12:N77" si="2">L12/$L$153</f>
        <v>0.95419847328244278</v>
      </c>
      <c r="O12" s="110">
        <f t="shared" ref="O12:O78" si="3">D12*N12</f>
        <v>0</v>
      </c>
    </row>
    <row r="13" spans="1:15" x14ac:dyDescent="0.2">
      <c r="A13" s="124" t="s">
        <v>921</v>
      </c>
      <c r="B13" s="44" t="str">
        <f>IF(LEN(VLOOKUP(A13,'Species List'!$A:$G,2,FALSE))=0,"",VLOOKUP(A13,'Species List'!$A:$G,2,FALSE))</f>
        <v>Bicknell's sedge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[FAC-]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4.5801526717557252E-2</v>
      </c>
      <c r="O13" s="110">
        <f t="shared" si="3"/>
        <v>0.27480916030534353</v>
      </c>
    </row>
    <row r="14" spans="1:15" x14ac:dyDescent="0.2">
      <c r="A14" s="106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8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 t="shared" si="1"/>
        <v>#N/A</v>
      </c>
      <c r="N14" s="109" t="e">
        <f t="shared" si="2"/>
        <v>#N/A</v>
      </c>
      <c r="O14" s="109" t="e">
        <f t="shared" si="3"/>
        <v>#N/A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8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8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7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7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7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7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65.5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8</v>
      </c>
      <c r="C4" s="102">
        <f>COUNTIF(Forbs!$F$12:$F$150,"Native")</f>
        <v>18</v>
      </c>
      <c r="D4" s="102">
        <f>COUNTIF(Grasses!$F$12:$F$151,"Native")</f>
        <v>1</v>
      </c>
      <c r="E4" s="102">
        <f>AVERAGE(B4:D4)</f>
        <v>9</v>
      </c>
      <c r="F4" s="102">
        <f>SUM(B4:D4)</f>
        <v>27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4</v>
      </c>
      <c r="D5" s="102">
        <f>COUNTIF(Grasses!$F12:$F201,"Introduced")</f>
        <v>1</v>
      </c>
      <c r="E5" s="102">
        <f t="shared" ref="E5:E6" si="0">AVERAGE(B5:D5)</f>
        <v>2.3333333333333335</v>
      </c>
      <c r="F5" s="102">
        <f>SUM(B5:D5)</f>
        <v>7</v>
      </c>
    </row>
    <row r="6" spans="1:6" s="81" customFormat="1" ht="21" x14ac:dyDescent="0.35">
      <c r="A6" s="53" t="s">
        <v>5411</v>
      </c>
      <c r="B6" s="102">
        <f>SUM(B4:B5)</f>
        <v>10</v>
      </c>
      <c r="C6" s="102">
        <f>SUM(C4:C5)</f>
        <v>22</v>
      </c>
      <c r="D6" s="102">
        <f>SUM(D4:D5)</f>
        <v>2</v>
      </c>
      <c r="E6" s="102">
        <f t="shared" si="0"/>
        <v>11.333333333333334</v>
      </c>
      <c r="F6" s="102">
        <f>SUM(B6:D6)</f>
        <v>34</v>
      </c>
    </row>
    <row r="7" spans="1:6" ht="18" x14ac:dyDescent="0.25">
      <c r="A7" s="53" t="s">
        <v>4843</v>
      </c>
      <c r="B7" s="102">
        <f>AVERAGEIF(Woody!D12:D152,"&gt;0")</f>
        <v>2.625</v>
      </c>
      <c r="C7" s="102">
        <f>AVERAGEIF(Forbs!D12:D152,"&gt;0")</f>
        <v>3.3333333333333335</v>
      </c>
      <c r="D7" s="102">
        <f>AVERAGEIF(Grasses!D12:D152,"&gt;0")</f>
        <v>6</v>
      </c>
      <c r="E7" s="102">
        <f>AVERAGE(B7:D7)</f>
        <v>3.9861111111111112</v>
      </c>
      <c r="F7" s="102">
        <f>(SUMIF(Woody!D12:D152,"&gt;0")+SUMIF(Forbs!D12:D152,"&gt;0")+SUMIF(Grasses!D12:D152,"&gt;0"))/(COUNTIF(Woody!D12:D152,"&gt;0")+COUNTIF(Forbs!D12:D152,"&gt;0")+COUNTIF(Grasses!D12:D152,"&gt;0"))</f>
        <v>3.2083333333333335</v>
      </c>
    </row>
    <row r="8" spans="1:6" s="31" customFormat="1" ht="21" x14ac:dyDescent="0.35">
      <c r="A8" s="53" t="s">
        <v>5412</v>
      </c>
      <c r="B8" s="102">
        <f>AVERAGEIF(Woody!D12:D152,"&gt;=0")</f>
        <v>2.1</v>
      </c>
      <c r="C8" s="102">
        <f>AVERAGEIF(Forbs!D12:D152,"&gt;=0")</f>
        <v>2.2727272727272729</v>
      </c>
      <c r="D8" s="102">
        <f>AVERAGEIF(Grasses!D12:D152,"&gt;=0")</f>
        <v>3</v>
      </c>
      <c r="E8" s="102">
        <f>AVERAGE(B8:D8)</f>
        <v>2.4575757575757575</v>
      </c>
      <c r="F8" s="102">
        <f>(SUMIF(Woody!D12:D152,"&gt;=0")+SUMIF(Forbs!D12:D152,"&gt;=0")+SUMIF(Grasses!D12:D152,"&gt;=0"))/(COUNTIF(Woody!D12:D152,"&gt;=0")+COUNTIF(Forbs!D12:D152,"&gt;=0")+COUNTIF(Grasses!D12:D152,"&gt;=0"))</f>
        <v>2.2647058823529411</v>
      </c>
    </row>
    <row r="9" spans="1:6" ht="18" x14ac:dyDescent="0.25">
      <c r="A9" s="53" t="s">
        <v>4836</v>
      </c>
      <c r="B9" s="102">
        <f>SQRT(B4)*B7</f>
        <v>7.4246212024587495</v>
      </c>
      <c r="C9" s="102">
        <f>SQRT(C4)*C7</f>
        <v>14.142135623730949</v>
      </c>
      <c r="D9" s="102">
        <f>SQRT(D4)*D7</f>
        <v>6</v>
      </c>
      <c r="E9" s="102">
        <f>SQRT(E4)*E7</f>
        <v>11.958333333333334</v>
      </c>
      <c r="F9" s="102">
        <f>SQRT(F4)*F7</f>
        <v>16.670989022850446</v>
      </c>
    </row>
    <row r="10" spans="1:6" s="82" customFormat="1" ht="21" x14ac:dyDescent="0.35">
      <c r="A10" s="53" t="s">
        <v>5413</v>
      </c>
      <c r="B10" s="102">
        <f>SQRT(B6)*B8</f>
        <v>6.640783086353597</v>
      </c>
      <c r="C10" s="102">
        <f>SQRT(C6)*C8</f>
        <v>10.660035817780523</v>
      </c>
      <c r="D10" s="102">
        <f>SQRT(D6)*D8</f>
        <v>4.2426406871192857</v>
      </c>
      <c r="E10" s="102">
        <f>SQRT(E6)*E8</f>
        <v>8.2734328333450975</v>
      </c>
      <c r="F10" s="102">
        <f>SQRT(F6)*F8</f>
        <v>13.20539105597318</v>
      </c>
    </row>
    <row r="11" spans="1:6" ht="18" x14ac:dyDescent="0.25">
      <c r="A11" s="53" t="s">
        <v>4844</v>
      </c>
      <c r="B11" s="102">
        <f>SUMIF(Woody!$M$12:$M$152,"&gt;=0")</f>
        <v>57</v>
      </c>
      <c r="C11" s="102">
        <f>SUMIF(Forbs!$M$12:$M$153,"&gt;=0")</f>
        <v>114.5</v>
      </c>
      <c r="D11" s="102">
        <f>SUMIF(Grasses!$M$12:$M$152,"&gt;=0")</f>
        <v>65.5</v>
      </c>
      <c r="E11" s="102">
        <f>AVERAGE(B11:D11)</f>
        <v>79</v>
      </c>
      <c r="F11" s="102">
        <f>SUM(B11:D11)</f>
        <v>237</v>
      </c>
    </row>
    <row r="12" spans="1:6" ht="18" x14ac:dyDescent="0.25">
      <c r="A12" s="53" t="s">
        <v>5377</v>
      </c>
      <c r="B12" s="102">
        <f>SUMIF(Woody!$F$12:$F$152,"Introduced",Woody!$L$12:$L$152)</f>
        <v>6</v>
      </c>
      <c r="C12" s="102">
        <f>SUMIF(Forbs!$F$12:$F$153,"Introduced",Forbs!$L$12:$L$153)</f>
        <v>12</v>
      </c>
      <c r="D12" s="102">
        <f>SUMIF(Grasses!$F$12:$F$152,"Introduced",Grasses!$L$12:$L$152)</f>
        <v>62.5</v>
      </c>
      <c r="E12" s="102">
        <f>AVERAGE(B12:D12)</f>
        <v>26.833333333333332</v>
      </c>
      <c r="F12" s="102">
        <f>SUM(B12:D12)</f>
        <v>80.5</v>
      </c>
    </row>
    <row r="13" spans="1:6" ht="18.75" thickBot="1" x14ac:dyDescent="0.3">
      <c r="A13" s="54" t="s">
        <v>4845</v>
      </c>
      <c r="B13" s="103">
        <f>B12/B11</f>
        <v>0.10526315789473684</v>
      </c>
      <c r="C13" s="103">
        <f>C12/C11</f>
        <v>0.10480349344978165</v>
      </c>
      <c r="D13" s="103">
        <f>D12/D11</f>
        <v>0.95419847328244278</v>
      </c>
      <c r="E13" s="103">
        <f>E12/E11</f>
        <v>0.33966244725738393</v>
      </c>
      <c r="F13" s="103">
        <f>F12/F11</f>
        <v>0.33966244725738398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2.1578947368421049</v>
      </c>
      <c r="C15" s="101">
        <f>SUMIF(Forbs!$O$12:$O$152,"&gt;=0")</f>
        <v>2.877729257641922</v>
      </c>
      <c r="D15" s="101">
        <f>SUMIF(Grasses!$O$12:$O$152,"&gt;=0")</f>
        <v>0.27480916030534353</v>
      </c>
      <c r="E15" s="101">
        <f>AVERAGE(B15:D15)</f>
        <v>1.7701443849297902</v>
      </c>
      <c r="F15" s="102">
        <f>SUM(B15:D15)</f>
        <v>5.3104331547893704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2023-01-27T17:53:11Z</dcterms:modified>
</cp:coreProperties>
</file>