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6E0C9D26-2871-44AF-927E-96DDE830B1EA}" xr6:coauthVersionLast="45" xr6:coauthVersionMax="45" xr10:uidLastSave="{00000000-0000-0000-0000-000000000000}"/>
  <bookViews>
    <workbookView xWindow="1908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C23" i="10"/>
  <c r="D23" i="10" s="1"/>
  <c r="C24" i="10"/>
  <c r="D24" i="10" s="1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C16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6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6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<sst xmlns="http://schemas.openxmlformats.org/spreadsheetml/2006/main" count="13135" uniqueCount="5448">
  <si>
    <t>a</t>
    <phoneticPr fontId="11" type="noConversion"/>
  </si>
  <si>
    <t>b</t>
    <phoneticPr fontId="11" type="noConversion"/>
  </si>
  <si>
    <t>C</t>
    <phoneticPr fontId="11" type="noConversion"/>
  </si>
  <si>
    <t>E</t>
    <phoneticPr fontId="11" type="noConversion"/>
  </si>
  <si>
    <t>0.5-2m</t>
    <phoneticPr fontId="11" type="noConversion"/>
  </si>
  <si>
    <t>0.1-0.5m</t>
    <phoneticPr fontId="11" type="noConversion"/>
  </si>
  <si>
    <t>0-0.1m</t>
    <phoneticPr fontId="11" type="noConversion"/>
  </si>
  <si>
    <t>small colonies, broken mat</t>
    <phoneticPr fontId="11" type="noConversion"/>
  </si>
  <si>
    <t>large group, many plants</t>
    <phoneticPr fontId="11" type="noConversion"/>
  </si>
  <si>
    <t>small dense clumps</t>
    <phoneticPr fontId="11" type="noConversion"/>
  </si>
  <si>
    <t>growing singly</t>
    <phoneticPr fontId="11" type="noConversion"/>
  </si>
  <si>
    <t>Thatch:</t>
    <phoneticPr fontId="11" type="noConversion"/>
  </si>
  <si>
    <t>c</t>
    <phoneticPr fontId="11" type="noConversion"/>
  </si>
  <si>
    <t>i</t>
    <phoneticPr fontId="11" type="noConversion"/>
  </si>
  <si>
    <t>p</t>
    <phoneticPr fontId="11" type="noConversion"/>
  </si>
  <si>
    <t>r</t>
    <phoneticPr fontId="11" type="noConversion"/>
  </si>
  <si>
    <t>50-75%</t>
    <phoneticPr fontId="11" type="noConversion"/>
  </si>
  <si>
    <t>25-50%</t>
    <phoneticPr fontId="11" type="noConversion"/>
  </si>
  <si>
    <t>5-25%</t>
    <phoneticPr fontId="11" type="noConversion"/>
  </si>
  <si>
    <t>1-5%</t>
    <phoneticPr fontId="11" type="noConversion"/>
  </si>
  <si>
    <t>Extensive mat</t>
    <phoneticPr fontId="11" type="noConversion"/>
  </si>
  <si>
    <t>Abundance</t>
    <phoneticPr fontId="11" type="noConversion"/>
  </si>
  <si>
    <t>Group</t>
    <phoneticPr fontId="11" type="noConversion"/>
  </si>
  <si>
    <t>B</t>
    <phoneticPr fontId="11" type="noConversion"/>
  </si>
  <si>
    <t>D</t>
    <phoneticPr fontId="11" type="noConversion"/>
  </si>
  <si>
    <t>G</t>
    <phoneticPr fontId="11" type="noConversion"/>
  </si>
  <si>
    <t>H</t>
    <phoneticPr fontId="11" type="noConversion"/>
  </si>
  <si>
    <t>L</t>
    <phoneticPr fontId="11" type="noConversion"/>
  </si>
  <si>
    <t>K</t>
    <phoneticPr fontId="11" type="noConversion"/>
  </si>
  <si>
    <t>X</t>
    <phoneticPr fontId="11" type="noConversion"/>
  </si>
  <si>
    <t>Broadleaf evergreen</t>
    <phoneticPr fontId="11" type="noConversion"/>
  </si>
  <si>
    <t>Broadleaf deciduous</t>
    <phoneticPr fontId="11" type="noConversion"/>
  </si>
  <si>
    <t>Needleleaf evergreen</t>
    <phoneticPr fontId="11" type="noConversion"/>
  </si>
  <si>
    <t>Graminoids</t>
    <phoneticPr fontId="11" type="noConversion"/>
  </si>
  <si>
    <t>Forbs</t>
    <phoneticPr fontId="11" type="noConversion"/>
  </si>
  <si>
    <t>Lichens &amp; mosses</t>
    <phoneticPr fontId="11" type="noConversion"/>
  </si>
  <si>
    <t>Climbers</t>
    <phoneticPr fontId="11" type="noConversion"/>
  </si>
  <si>
    <t>Stem succulents</t>
    <phoneticPr fontId="11" type="noConversion"/>
  </si>
  <si>
    <t>Epiphytes</t>
    <phoneticPr fontId="11" type="noConversion"/>
  </si>
  <si>
    <t xml:space="preserve"> +</t>
    <phoneticPr fontId="11" type="noConversion"/>
  </si>
  <si>
    <t>&lt;5% cover, many individuals</t>
    <phoneticPr fontId="11" type="noConversion"/>
  </si>
  <si>
    <t>&lt;5% cover, few (2-20) individuals</t>
    <phoneticPr fontId="11" type="noConversion"/>
  </si>
  <si>
    <t>&lt;5% cover, single</t>
    <phoneticPr fontId="11" type="noConversion"/>
  </si>
  <si>
    <t>Life Form</t>
    <phoneticPr fontId="11" type="noConversion"/>
  </si>
  <si>
    <t>Height</t>
    <phoneticPr fontId="11" type="noConversion"/>
  </si>
  <si>
    <t>Sociability</t>
    <phoneticPr fontId="11" type="noConversion"/>
  </si>
  <si>
    <t>&gt;35m</t>
    <phoneticPr fontId="11" type="noConversion"/>
  </si>
  <si>
    <t>20-35m</t>
    <phoneticPr fontId="11" type="noConversion"/>
  </si>
  <si>
    <t>10-20m</t>
    <phoneticPr fontId="11" type="noConversion"/>
  </si>
  <si>
    <t>5-10m</t>
    <phoneticPr fontId="11" type="noConversion"/>
  </si>
  <si>
    <t>2-5m</t>
    <phoneticPr fontId="1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</si>
  <si>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</si>
  <si>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</si>
  <si>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</si>
  <si>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</si>
  <si>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</si>
  <si>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</si>
  <si>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</si>
  <si>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</si>
  <si>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</si>
  <si>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</si>
  <si>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</si>
  <si>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</si>
  <si>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</si>
  <si>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</si>
  <si>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</si>
  <si>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</si>
  <si>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</si>
  <si>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</si>
  <si>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</si>
  <si>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</si>
  <si>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</si>
  <si>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</si>
  <si>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</si>
  <si>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</si>
  <si>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</si>
  <si>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</si>
  <si>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</si>
  <si>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</si>
  <si>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</si>
  <si>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</si>
  <si>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</si>
  <si>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</si>
  <si>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</si>
  <si>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</si>
  <si>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</si>
  <si>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</si>
  <si>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</si>
  <si>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</si>
  <si>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</si>
  <si>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</si>
  <si>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</si>
  <si>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</si>
  <si>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</si>
  <si>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</si>
  <si>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</si>
  <si>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</si>
  <si>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</si>
  <si>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</si>
  <si>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</si>
  <si>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</si>
  <si>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</si>
  <si>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</si>
  <si>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</si>
  <si>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</si>
  <si>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</si>
  <si>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</si>
  <si>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</si>
  <si>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</si>
  <si>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</si>
  <si>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</si>
  <si>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</si>
  <si>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</si>
  <si>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</si>
  <si>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</si>
  <si>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</si>
  <si>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</si>
  <si>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</si>
  <si>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</si>
  <si>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</si>
  <si>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</si>
  <si>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</si>
  <si>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</si>
  <si>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</si>
  <si>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</si>
  <si>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</si>
  <si>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</si>
  <si>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</si>
  <si>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</si>
  <si>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</si>
  <si>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</si>
  <si>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</si>
  <si>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</si>
  <si>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</si>
  <si>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</si>
  <si>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</si>
  <si>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</si>
  <si>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</si>
  <si>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</si>
  <si>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</si>
  <si>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</si>
  <si>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</si>
  <si>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</si>
  <si>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</si>
  <si>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</si>
  <si>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</si>
  <si>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</si>
  <si>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</si>
  <si>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</si>
  <si>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</si>
  <si>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</si>
  <si>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</si>
  <si>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</si>
  <si>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</si>
  <si>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</si>
  <si>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</si>
  <si>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</si>
  <si>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</si>
  <si>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</si>
  <si>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</si>
  <si>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</si>
  <si>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</si>
  <si>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</si>
  <si>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</si>
  <si>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</si>
  <si>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</si>
  <si>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</si>
  <si>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</si>
  <si>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</si>
  <si>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</si>
  <si>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</si>
  <si>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</si>
  <si>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</si>
  <si>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</si>
  <si>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</si>
  <si>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</si>
  <si>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</si>
  <si>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</si>
  <si>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</si>
  <si>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</si>
  <si>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</si>
  <si>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</si>
  <si>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</si>
  <si>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</si>
  <si>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</si>
  <si>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</si>
  <si>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</si>
  <si>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</si>
  <si>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</si>
  <si>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</si>
  <si>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</si>
  <si>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</si>
  <si>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</si>
  <si>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</si>
  <si>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</si>
  <si>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</si>
  <si>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</si>
  <si>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</si>
  <si>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</si>
  <si>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</si>
  <si>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</si>
  <si>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</si>
  <si>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</si>
  <si>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</si>
  <si>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</si>
  <si>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</si>
  <si>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</si>
  <si>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</si>
  <si>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</si>
  <si>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</si>
  <si>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</si>
  <si>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</si>
  <si>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</si>
  <si>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</si>
  <si>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</si>
  <si>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</si>
  <si>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</si>
  <si>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</si>
  <si>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</si>
  <si>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</si>
  <si>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</si>
  <si>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</si>
  <si>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</si>
  <si>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</si>
  <si>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</si>
  <si>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</si>
  <si>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</si>
  <si>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</si>
  <si>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</si>
  <si>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</si>
  <si>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</si>
  <si>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</si>
  <si>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</si>
  <si>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</si>
  <si>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</si>
  <si>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</si>
  <si>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</si>
  <si>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</si>
  <si>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</si>
  <si>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</si>
  <si>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</si>
  <si>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</si>
  <si>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</si>
  <si>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</si>
  <si>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</si>
  <si>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</si>
  <si>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</si>
  <si>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</si>
  <si>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</si>
  <si>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</si>
  <si>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</si>
  <si>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</si>
  <si>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</si>
  <si>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</si>
  <si>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</si>
  <si>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</si>
  <si>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</si>
  <si>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</si>
  <si>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</si>
  <si>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</si>
  <si>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</si>
  <si>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</si>
  <si>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</si>
  <si>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</si>
  <si>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</si>
  <si>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</si>
  <si>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</si>
  <si>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</si>
  <si>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</si>
  <si>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</si>
  <si>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</si>
  <si>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</si>
  <si>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</si>
  <si>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</si>
  <si>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</si>
  <si>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</si>
  <si>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</si>
  <si>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</si>
  <si>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</si>
  <si>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</si>
  <si>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</si>
  <si>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</si>
  <si>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</si>
  <si>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</si>
  <si>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</si>
  <si>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</si>
  <si>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</si>
  <si>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</si>
  <si>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</si>
  <si>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</si>
  <si>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</si>
  <si>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</si>
  <si>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</si>
  <si>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</si>
  <si>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</si>
  <si>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</si>
  <si>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</si>
  <si>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</si>
  <si>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</si>
  <si>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</si>
  <si>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</si>
  <si>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</si>
  <si>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</si>
  <si>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</si>
  <si>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</si>
  <si>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</si>
  <si>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</si>
  <si>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</si>
  <si>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</si>
  <si>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</si>
  <si>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</si>
  <si>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</si>
  <si>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</si>
  <si>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</si>
  <si>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</si>
  <si>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</si>
  <si>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</si>
  <si>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</si>
  <si>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</si>
  <si>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</si>
  <si>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</si>
  <si>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</si>
  <si>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</si>
  <si>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</si>
  <si>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</si>
  <si>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</si>
  <si>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</si>
  <si>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</si>
  <si>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</si>
  <si>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</si>
  <si>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</si>
  <si>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</si>
  <si>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</si>
  <si>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</si>
  <si>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</si>
  <si>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</si>
  <si>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</si>
  <si>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</si>
  <si>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</si>
  <si>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</si>
  <si>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</si>
  <si>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</si>
  <si>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</si>
  <si>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</si>
  <si>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</si>
  <si>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</si>
  <si>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</si>
  <si>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</si>
  <si>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</si>
  <si>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</si>
  <si>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</si>
  <si>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</si>
  <si>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</si>
  <si>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</si>
  <si>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</si>
  <si>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</si>
  <si>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</si>
  <si>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</si>
  <si>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</si>
  <si>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</si>
  <si>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</si>
  <si>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</si>
  <si>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</si>
  <si>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</si>
  <si>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</si>
  <si>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</si>
  <si>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</si>
  <si>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</si>
  <si>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</si>
  <si>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</si>
  <si>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</si>
  <si>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</si>
  <si>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</si>
  <si>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</si>
  <si>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</si>
  <si>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</si>
  <si>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</si>
  <si>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</si>
  <si>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</si>
  <si>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</si>
  <si>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</si>
  <si>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</si>
  <si>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</si>
  <si>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</si>
  <si>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</si>
  <si>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</si>
  <si>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</si>
  <si>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</si>
  <si>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</si>
  <si>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</si>
  <si>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</si>
  <si>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</si>
  <si>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</si>
  <si>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</si>
  <si>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</si>
  <si>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</si>
  <si>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</si>
  <si>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</si>
  <si>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</si>
  <si>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</si>
  <si>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</si>
  <si>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</si>
  <si>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</si>
  <si>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</si>
  <si>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</si>
  <si>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</si>
  <si>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</si>
  <si>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</si>
  <si>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</si>
  <si>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</si>
  <si>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</si>
  <si>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</si>
  <si>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</si>
  <si>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</si>
  <si>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</si>
  <si>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</si>
  <si>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</si>
  <si>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</si>
  <si>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</si>
  <si>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</si>
  <si>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</si>
  <si>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</si>
  <si>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</si>
  <si>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</si>
  <si>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</si>
  <si>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</si>
  <si>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</si>
  <si>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</si>
  <si>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</si>
  <si>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</si>
  <si>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</si>
  <si>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</si>
  <si>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</si>
  <si>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</si>
  <si>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</si>
  <si>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</si>
  <si>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</si>
  <si>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</si>
  <si>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</si>
  <si>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</si>
  <si>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</si>
  <si>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</si>
  <si>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</si>
  <si>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</si>
  <si>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</si>
  <si>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</si>
  <si>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</si>
  <si>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</si>
  <si>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</si>
  <si>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</si>
  <si>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</si>
  <si>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</si>
  <si>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</si>
  <si>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</si>
  <si>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</si>
  <si>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</si>
  <si>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</si>
  <si>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</si>
  <si>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</si>
  <si>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</si>
  <si>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</si>
  <si>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</si>
  <si>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</si>
  <si>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</si>
  <si>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</si>
  <si>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</si>
  <si>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</si>
  <si>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</si>
  <si>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</si>
  <si>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</si>
  <si>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</si>
  <si>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</si>
  <si>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</si>
  <si>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</si>
  <si>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</si>
  <si>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</si>
  <si>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</si>
  <si>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</si>
  <si>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</si>
  <si>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</si>
  <si>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</si>
  <si>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</si>
  <si>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</si>
  <si>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</si>
  <si>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</si>
  <si>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</si>
  <si>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</si>
  <si>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</si>
  <si>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</si>
  <si>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</si>
  <si>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</si>
  <si>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</si>
  <si>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</si>
  <si>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</si>
  <si>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</si>
  <si>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</si>
  <si>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</si>
  <si>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</si>
  <si>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</si>
  <si>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</si>
  <si>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</si>
  <si>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</si>
  <si>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</si>
  <si>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</si>
  <si>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</si>
  <si>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</si>
  <si>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</si>
  <si>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</si>
  <si>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</si>
  <si>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</si>
  <si>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</si>
  <si>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</si>
  <si>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</si>
  <si>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</si>
  <si>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</si>
  <si>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</si>
  <si>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</si>
  <si>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</si>
  <si>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</si>
  <si>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</si>
  <si>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</si>
  <si>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</si>
  <si>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</si>
  <si>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</si>
  <si>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</si>
  <si>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</si>
  <si>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</si>
  <si>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</si>
  <si>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</si>
  <si>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</si>
  <si>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</si>
  <si>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</si>
  <si>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</si>
  <si>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</si>
  <si>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</si>
  <si>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</si>
  <si>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</si>
  <si>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</si>
  <si>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</si>
  <si>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</si>
  <si>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</si>
  <si>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</si>
  <si>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</si>
  <si>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</si>
  <si>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</si>
  <si>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</si>
  <si>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</si>
  <si>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</si>
  <si>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</si>
  <si>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</si>
  <si>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</si>
  <si>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</si>
  <si>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</si>
  <si>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</si>
  <si>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</si>
  <si>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</si>
  <si>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</si>
  <si>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</si>
  <si>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</si>
  <si>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</si>
  <si>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</si>
  <si>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</si>
  <si>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</si>
  <si>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</si>
  <si>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</si>
  <si>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</si>
  <si>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</si>
  <si>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</si>
  <si>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</si>
  <si>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</si>
  <si>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</si>
  <si>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</si>
  <si>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</si>
  <si>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</si>
  <si>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</si>
  <si>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</si>
  <si>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</si>
  <si>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</si>
  <si>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</si>
  <si>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</si>
  <si>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</si>
  <si>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</si>
  <si>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</si>
  <si>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</si>
  <si>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</si>
  <si>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</si>
  <si>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</si>
  <si>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</si>
  <si>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</si>
  <si>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</si>
  <si>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</si>
  <si>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</si>
  <si>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</si>
  <si>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</si>
  <si>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</si>
  <si>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</si>
  <si>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</si>
  <si>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</si>
  <si>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</si>
  <si>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</si>
  <si>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</si>
  <si>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</si>
  <si>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</si>
  <si>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</si>
  <si>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</si>
  <si>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</si>
  <si>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</si>
  <si>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</si>
  <si>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</si>
  <si>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</si>
  <si>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</si>
  <si>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</si>
  <si>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</si>
  <si>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</si>
  <si>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</si>
  <si>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</si>
  <si>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</si>
  <si>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</si>
  <si>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</si>
  <si>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</si>
  <si>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</si>
  <si>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</si>
  <si>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</si>
  <si>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</si>
  <si>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</si>
  <si>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</si>
  <si>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</si>
  <si>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</si>
  <si>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</si>
  <si>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</si>
  <si>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</si>
  <si>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</si>
  <si>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</si>
  <si>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</si>
  <si>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</si>
  <si>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</si>
  <si>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</si>
  <si>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</si>
  <si>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</si>
  <si>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</si>
  <si>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</si>
  <si>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</si>
  <si>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</si>
  <si>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</si>
  <si>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</si>
  <si>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</si>
  <si>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</si>
  <si>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</si>
  <si>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</si>
  <si>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</si>
  <si>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</si>
  <si>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</si>
  <si>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</si>
  <si>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</si>
  <si>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</si>
  <si>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</si>
  <si>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</si>
  <si>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</si>
  <si>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</si>
  <si>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</si>
  <si>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</si>
  <si>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</si>
  <si>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</si>
  <si>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</si>
  <si>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</si>
  <si>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</si>
  <si>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</si>
  <si>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</si>
  <si>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</si>
  <si>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</si>
  <si>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</si>
  <si>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</si>
  <si>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</si>
  <si>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</si>
  <si>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</si>
  <si>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</si>
  <si>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</si>
  <si>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</si>
  <si>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</si>
  <si>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</si>
  <si>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</si>
  <si>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</si>
  <si>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</si>
  <si>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</si>
  <si>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</si>
  <si>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</si>
  <si>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</si>
  <si>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</si>
  <si>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</si>
  <si>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</si>
  <si>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</si>
  <si>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</si>
  <si>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</si>
  <si>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</si>
  <si>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</si>
  <si>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</si>
  <si>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</si>
  <si>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</si>
  <si>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</si>
  <si>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</si>
  <si>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</si>
  <si>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</si>
  <si>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</si>
  <si>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</si>
  <si>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</si>
  <si>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</si>
  <si>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</si>
  <si>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</si>
  <si>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</si>
  <si>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</si>
  <si>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</si>
  <si>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</si>
  <si>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</si>
  <si>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</si>
  <si>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</si>
  <si>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</si>
  <si>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</si>
  <si>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</si>
  <si>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</si>
  <si>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</si>
  <si>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</si>
  <si>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</si>
  <si>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</si>
  <si>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</si>
  <si>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</si>
  <si>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</si>
  <si>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</si>
  <si>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</si>
  <si>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</si>
  <si>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</si>
  <si>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</si>
  <si>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</si>
  <si>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</si>
  <si>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</si>
  <si>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</si>
  <si>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</si>
  <si>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</si>
  <si>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</si>
  <si>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</si>
  <si>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</si>
  <si>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</si>
  <si>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</si>
  <si>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</si>
  <si>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</si>
  <si>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</si>
  <si>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</si>
  <si>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</si>
  <si>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</si>
  <si>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</si>
  <si>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</si>
  <si>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</si>
  <si>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</si>
  <si>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</si>
  <si>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</si>
  <si>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</si>
  <si>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</si>
  <si>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</si>
  <si>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</si>
  <si>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</si>
  <si>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</si>
  <si>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</si>
  <si>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</si>
  <si>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</si>
  <si>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</si>
  <si>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</si>
  <si>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</si>
  <si>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</si>
  <si>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</si>
  <si>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</si>
  <si>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</si>
  <si>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</si>
  <si>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</si>
  <si>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</si>
  <si>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</si>
  <si>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</si>
  <si>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</si>
  <si>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</si>
  <si>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</si>
  <si>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</si>
  <si>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</si>
  <si>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</si>
  <si>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</si>
  <si>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</si>
  <si>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</si>
  <si>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</si>
  <si>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</si>
  <si>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</si>
  <si>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</si>
  <si>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</si>
  <si>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</si>
  <si>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</si>
  <si>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</si>
  <si>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</si>
  <si>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</si>
  <si>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</si>
  <si>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</si>
  <si>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</si>
  <si>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</si>
  <si>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</si>
  <si>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</si>
  <si>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</si>
  <si>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</si>
  <si>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</si>
  <si>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</si>
  <si>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</si>
  <si>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</si>
  <si>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</si>
  <si>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</si>
  <si>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</si>
  <si>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</si>
  <si>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</si>
  <si>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</si>
  <si>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</si>
  <si>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</si>
  <si>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</si>
  <si>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</si>
  <si>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</si>
  <si>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</si>
  <si>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</si>
  <si>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</si>
  <si>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</si>
  <si>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</si>
  <si>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</si>
  <si>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</si>
  <si>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</si>
  <si>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</si>
  <si>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</si>
  <si>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</si>
  <si>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</si>
  <si>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</si>
  <si>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</si>
  <si>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</si>
  <si>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</si>
  <si>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</si>
  <si>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</si>
  <si>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</si>
  <si>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</si>
  <si>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</si>
  <si>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</si>
  <si>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</si>
  <si>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</si>
  <si>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</si>
  <si>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</si>
  <si>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</si>
  <si>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</si>
  <si>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</si>
  <si>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</si>
  <si>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</si>
  <si>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</si>
  <si>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</si>
  <si>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</si>
  <si>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</si>
  <si>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</si>
  <si>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</si>
  <si>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</si>
  <si>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</si>
  <si>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</si>
  <si>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</si>
  <si>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</si>
  <si>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</si>
  <si>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</si>
  <si>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</si>
  <si>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</si>
  <si>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</si>
  <si>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</si>
  <si>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</si>
  <si>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</si>
  <si>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</si>
  <si>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</si>
  <si>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</si>
  <si>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</si>
  <si>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</si>
  <si>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</si>
  <si>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</si>
  <si>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</si>
  <si>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</si>
  <si>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</si>
  <si>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</si>
  <si>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</si>
  <si>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</si>
  <si>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</si>
  <si>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</si>
  <si>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</si>
  <si>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</si>
  <si>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</si>
  <si>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</si>
  <si>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</si>
  <si>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</si>
  <si>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</si>
  <si>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</si>
  <si>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</si>
  <si>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</si>
  <si>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</si>
  <si>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</si>
  <si>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</si>
  <si>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</si>
  <si>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</si>
  <si>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</si>
  <si>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</si>
  <si>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</si>
  <si>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</si>
  <si>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</si>
  <si>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</si>
  <si>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</si>
  <si>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</si>
  <si>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</si>
  <si>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</si>
  <si>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</si>
  <si>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</si>
  <si>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</si>
  <si>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</si>
  <si>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</si>
  <si>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</si>
  <si>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</si>
  <si>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</si>
  <si>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</si>
  <si>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</si>
  <si>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</si>
  <si>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</si>
  <si>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</si>
  <si>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</si>
  <si>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</si>
  <si>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</si>
  <si>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</si>
  <si>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</si>
  <si>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</si>
  <si>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</si>
  <si>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</si>
  <si>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</si>
  <si>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</si>
  <si>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</si>
  <si>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</si>
  <si>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</si>
  <si>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</si>
  <si>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</si>
  <si>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</si>
  <si>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</si>
  <si>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</si>
  <si>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</si>
  <si>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</si>
  <si>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</si>
  <si>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</si>
  <si>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</si>
  <si>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</si>
  <si>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</si>
  <si>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</si>
  <si>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</si>
  <si>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</si>
  <si>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</si>
  <si>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</si>
  <si>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</si>
  <si>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</si>
  <si>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</si>
  <si>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</si>
  <si>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</si>
  <si>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</si>
  <si>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</si>
  <si>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</si>
  <si>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</si>
  <si>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</si>
  <si>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</si>
  <si>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</si>
  <si>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</si>
  <si>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</si>
  <si>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</si>
  <si>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</si>
  <si>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</si>
  <si>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</si>
  <si>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</si>
  <si>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</si>
  <si>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</si>
  <si>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</si>
  <si>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</si>
  <si>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</si>
  <si>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</si>
  <si>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</si>
  <si>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</si>
  <si>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</si>
  <si>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</si>
  <si>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</si>
  <si>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</si>
  <si>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</si>
  <si>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</si>
  <si>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</si>
  <si>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</si>
  <si>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</si>
  <si>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</si>
  <si>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</si>
  <si>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</si>
  <si>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</si>
  <si>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</si>
  <si>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</si>
  <si>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</si>
  <si>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</si>
  <si>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</si>
  <si>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</si>
  <si>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</si>
  <si>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</si>
  <si>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</si>
  <si>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</si>
  <si>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</si>
  <si>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</si>
  <si>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</si>
  <si>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</si>
  <si>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</si>
  <si>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</si>
  <si>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</si>
  <si>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</si>
  <si>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</si>
  <si>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</si>
  <si>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</si>
  <si>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</si>
  <si>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</si>
  <si>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</si>
  <si>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</si>
  <si>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</si>
  <si>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</si>
  <si>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</si>
  <si>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</si>
  <si>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</si>
  <si>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</si>
  <si>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</si>
  <si>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</si>
  <si>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</si>
  <si>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</si>
  <si>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</si>
  <si>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</si>
  <si>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</si>
  <si>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</si>
  <si>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</si>
  <si>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</si>
  <si>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</si>
  <si>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</si>
  <si>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</si>
  <si>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</si>
  <si>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</si>
  <si>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</si>
  <si>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</si>
  <si>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</si>
  <si>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</si>
  <si>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</si>
  <si>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</si>
  <si>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</si>
  <si>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</si>
  <si>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</si>
  <si>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</si>
  <si>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</si>
  <si>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</si>
  <si>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</si>
  <si>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</si>
  <si>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</si>
  <si>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</si>
  <si>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</si>
  <si>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</si>
  <si>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</si>
  <si>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</si>
  <si>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</si>
  <si>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</si>
  <si>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</si>
  <si>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</si>
  <si>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</si>
  <si>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</si>
  <si>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</si>
  <si>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</si>
  <si>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</si>
  <si>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</si>
  <si>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</si>
  <si>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</si>
  <si>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</si>
  <si>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</si>
  <si>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</si>
  <si>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</si>
  <si>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</si>
  <si>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</si>
  <si>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</si>
  <si>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</si>
  <si>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</si>
  <si>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</si>
  <si>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</si>
  <si>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</si>
  <si>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</si>
  <si>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</si>
  <si>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</si>
  <si>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</si>
  <si>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</si>
  <si>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</si>
  <si>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</si>
  <si>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</si>
  <si>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</si>
  <si>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</si>
  <si>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</si>
  <si>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</si>
  <si>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</si>
  <si>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</si>
  <si>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</si>
  <si>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</si>
  <si>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</si>
  <si>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</si>
  <si>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</si>
  <si>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</si>
  <si>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</si>
  <si>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</si>
  <si>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</si>
  <si>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</si>
  <si>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</si>
  <si>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</si>
  <si>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</si>
  <si>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</si>
  <si>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</si>
  <si>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</si>
  <si>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</si>
  <si>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</si>
  <si>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</si>
  <si>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</si>
  <si>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</si>
  <si>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</si>
  <si>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</si>
  <si>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</si>
  <si>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</si>
  <si>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</si>
  <si>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</si>
  <si>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</si>
  <si>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</si>
  <si>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</si>
  <si>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</si>
  <si>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</si>
  <si>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</si>
  <si>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</si>
  <si>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</si>
  <si>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</si>
  <si>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</si>
  <si>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</si>
  <si>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</si>
  <si>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</si>
  <si>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</si>
  <si>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</si>
  <si>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</si>
  <si>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</si>
  <si>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</si>
  <si>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</si>
  <si>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</si>
  <si>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</si>
  <si>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</si>
  <si>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</si>
  <si>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</si>
  <si>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</si>
  <si>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</si>
  <si>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</si>
  <si>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</si>
  <si>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</si>
  <si>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</si>
  <si>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</si>
  <si>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</si>
  <si>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</si>
  <si>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</si>
  <si>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</si>
  <si>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</si>
  <si>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</si>
  <si>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</si>
  <si>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</si>
  <si>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</si>
  <si>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</si>
  <si>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</si>
  <si>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</si>
  <si>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</si>
  <si>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</si>
  <si>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</si>
  <si>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</si>
  <si>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</si>
  <si>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</si>
  <si>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</si>
  <si>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</si>
  <si>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</si>
  <si>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</si>
  <si>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</si>
  <si>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</si>
  <si>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</si>
  <si>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</si>
  <si>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</si>
  <si>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</si>
  <si>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</si>
  <si>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</si>
  <si>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</si>
  <si>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</si>
  <si>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</si>
  <si>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</si>
  <si>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</si>
  <si>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</si>
  <si>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</si>
  <si>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</si>
  <si>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</si>
  <si>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</si>
  <si>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</si>
  <si>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</si>
  <si>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</si>
  <si>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</si>
  <si>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</si>
  <si>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</si>
  <si>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</si>
  <si>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</si>
  <si>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</si>
  <si>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</si>
  <si>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</si>
  <si>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</si>
  <si>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</si>
  <si>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</si>
  <si>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</si>
  <si>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</si>
  <si>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</si>
  <si>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</si>
  <si>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</si>
  <si>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</si>
  <si>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</si>
  <si>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</si>
  <si>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</si>
  <si>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</si>
  <si>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</si>
  <si>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</si>
  <si>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</si>
  <si>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</si>
  <si>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</si>
  <si>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</si>
  <si>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</si>
  <si>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</si>
  <si>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</si>
  <si>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</si>
  <si>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</si>
  <si>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</si>
  <si>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</si>
  <si>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</si>
  <si>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</si>
  <si>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</si>
  <si>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</si>
  <si>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</si>
  <si>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</si>
  <si>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</si>
  <si>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</si>
  <si>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</si>
  <si>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</si>
  <si>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</si>
  <si>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</si>
  <si>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</si>
  <si>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</si>
  <si>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</si>
  <si>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</si>
  <si>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</si>
  <si>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</si>
  <si>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</si>
  <si>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</si>
  <si>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</si>
  <si>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</si>
  <si>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</si>
  <si>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</si>
  <si>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</si>
  <si>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</si>
  <si>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</si>
  <si>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</si>
  <si>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</si>
  <si>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</si>
  <si>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</si>
  <si>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</si>
  <si>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</si>
  <si>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</si>
  <si>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</si>
  <si>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</si>
  <si>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</si>
  <si>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</si>
  <si>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</si>
  <si>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</si>
  <si>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</si>
  <si>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</si>
  <si>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</si>
  <si>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</si>
  <si>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</si>
  <si>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</si>
  <si>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</si>
  <si>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</si>
  <si>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</si>
  <si>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</si>
  <si>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</si>
  <si>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</si>
  <si>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</si>
  <si>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</si>
  <si>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</si>
  <si>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</si>
  <si>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</si>
  <si>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</si>
  <si>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</si>
  <si>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</si>
  <si>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</si>
  <si>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</si>
  <si>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</si>
  <si>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</si>
  <si>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</si>
  <si>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</si>
  <si>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</si>
  <si>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</si>
  <si>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</si>
  <si>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</si>
  <si>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</si>
  <si>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</si>
  <si>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</si>
  <si>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</si>
  <si>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</si>
  <si>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</si>
  <si>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</si>
  <si>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</si>
  <si>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</si>
  <si>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</si>
  <si>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</si>
  <si>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</si>
  <si>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</si>
  <si>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</si>
  <si>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</si>
  <si>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</si>
  <si>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</si>
  <si>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</si>
  <si>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</si>
  <si>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</si>
  <si>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</si>
  <si>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</si>
  <si>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</si>
  <si>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</si>
  <si>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</si>
  <si>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</si>
  <si>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</si>
  <si>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</si>
  <si>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</si>
  <si>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</si>
  <si>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</si>
  <si>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</si>
  <si>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</si>
  <si>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</si>
  <si>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</si>
  <si>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</si>
  <si>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</si>
  <si>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</si>
  <si>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</si>
  <si>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</si>
  <si>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</si>
  <si>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</si>
  <si>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</si>
  <si>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</si>
  <si>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</si>
  <si>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</si>
  <si>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</si>
  <si>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</si>
  <si>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</si>
  <si>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</si>
  <si>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</si>
  <si>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</si>
  <si>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</si>
  <si>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</si>
  <si>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</si>
  <si>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</si>
  <si>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</si>
  <si>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</si>
  <si>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</si>
  <si>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</si>
  <si>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</si>
  <si>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</si>
  <si>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</si>
  <si>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</si>
  <si>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</si>
  <si>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</si>
  <si>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</si>
  <si>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</si>
  <si>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</si>
  <si>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</si>
  <si>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</si>
  <si>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</si>
  <si>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</si>
  <si>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</si>
  <si>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</si>
  <si>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</si>
  <si>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</si>
  <si>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</si>
  <si>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</si>
  <si>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</si>
  <si>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</si>
  <si>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</si>
  <si>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</si>
  <si>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</si>
  <si>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</si>
  <si>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</si>
  <si>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</si>
  <si>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</si>
  <si>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</si>
  <si>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</si>
  <si>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</si>
  <si>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</si>
  <si>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</si>
  <si>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</si>
  <si>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</si>
  <si>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</si>
  <si>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</si>
  <si>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</si>
  <si>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</si>
  <si>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</si>
  <si>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</si>
  <si>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</si>
  <si>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</si>
  <si>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</si>
  <si>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</si>
  <si>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</si>
  <si>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</si>
  <si>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</si>
  <si>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</si>
  <si>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</si>
  <si>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</si>
  <si>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</si>
  <si>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</si>
  <si>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</si>
  <si>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</si>
  <si>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</si>
  <si>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</si>
  <si>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</si>
  <si>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</si>
  <si>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</si>
  <si>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</si>
  <si>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</si>
  <si>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</si>
  <si>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</si>
  <si>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</si>
  <si>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</si>
  <si>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</si>
  <si>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</si>
  <si>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</si>
  <si>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</si>
  <si>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</si>
  <si>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</si>
  <si>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</si>
  <si>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</si>
  <si>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</si>
  <si>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</si>
  <si>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</si>
  <si>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</si>
  <si>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</si>
  <si>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</si>
  <si>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</si>
  <si>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</si>
  <si>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</si>
  <si>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</si>
  <si>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</si>
  <si>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</si>
  <si>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</si>
  <si>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</si>
  <si>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</si>
  <si>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</si>
  <si>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</si>
  <si>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</si>
  <si>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</si>
  <si>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</si>
  <si>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</si>
  <si>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</si>
  <si>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</si>
  <si>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</si>
  <si>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</si>
  <si>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</si>
  <si>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</si>
  <si>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</si>
  <si>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</si>
  <si>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</si>
  <si>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</si>
  <si>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</si>
  <si>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</si>
  <si>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</si>
  <si>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</si>
  <si>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</si>
  <si>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</si>
  <si>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</si>
  <si>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</si>
  <si>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</si>
  <si>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</si>
  <si>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</si>
  <si>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</si>
  <si>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</si>
  <si>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</si>
  <si>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</si>
  <si>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</si>
  <si>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</si>
  <si>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</si>
  <si>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</si>
  <si>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</si>
  <si>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</si>
  <si>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</si>
  <si>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</si>
  <si>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</si>
  <si>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</si>
  <si>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</si>
  <si>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</si>
  <si>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</si>
  <si>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</si>
  <si>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</si>
  <si>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</si>
  <si>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</si>
  <si>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</si>
  <si>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</si>
  <si>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</si>
  <si>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</si>
  <si>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</si>
  <si>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</si>
  <si>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</si>
  <si>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</si>
  <si>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</si>
  <si>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</si>
  <si>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</si>
  <si>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</si>
  <si>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</si>
  <si>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</si>
  <si>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</si>
  <si>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</si>
  <si>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</si>
  <si>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</si>
  <si>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</si>
  <si>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</si>
  <si>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</si>
  <si>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</si>
  <si>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</si>
  <si>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</si>
  <si>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</si>
  <si>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</si>
  <si>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</si>
  <si>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</si>
  <si>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</si>
  <si>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</si>
  <si>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</si>
  <si>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</si>
  <si>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</si>
  <si>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</si>
  <si>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</si>
  <si>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</si>
  <si>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</si>
  <si>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</si>
  <si>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</si>
  <si>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</si>
  <si>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</si>
  <si>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</si>
  <si>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</si>
  <si>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</si>
  <si>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</si>
  <si>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</si>
  <si>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</si>
  <si>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</si>
  <si>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</si>
  <si>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</si>
  <si>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</si>
  <si>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</si>
  <si>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</si>
  <si>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</si>
  <si>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</si>
  <si>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</si>
  <si>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</si>
  <si>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</si>
  <si>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</si>
  <si>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</si>
  <si>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</si>
  <si>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</si>
  <si>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</si>
  <si>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</si>
  <si>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</si>
  <si>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</si>
  <si>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</si>
  <si>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</si>
  <si>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</si>
  <si>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</si>
  <si>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</si>
  <si>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</si>
  <si>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</si>
  <si>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</si>
  <si>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</si>
  <si>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</si>
  <si>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</si>
  <si>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</si>
  <si>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</si>
  <si>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</si>
  <si>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</si>
  <si>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</si>
  <si>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</si>
  <si>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</si>
  <si>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</si>
  <si>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</si>
  <si>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</si>
  <si>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</si>
  <si>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</si>
  <si>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</si>
  <si>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</si>
  <si>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</si>
  <si>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</si>
  <si>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</si>
  <si>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</si>
  <si>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</si>
  <si>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</si>
  <si>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</si>
  <si>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</si>
  <si>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</si>
  <si>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</si>
  <si>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</si>
  <si>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</si>
  <si>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</si>
  <si>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</si>
  <si>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</si>
  <si>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</si>
  <si>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</si>
  <si>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</si>
  <si>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</si>
  <si>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</si>
  <si>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</si>
  <si>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</si>
  <si>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</si>
  <si>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</si>
  <si>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</si>
  <si>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</si>
  <si>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</si>
  <si>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</si>
  <si>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</si>
  <si>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</si>
  <si>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</si>
  <si>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</si>
  <si>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</si>
  <si>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</si>
  <si>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</si>
  <si>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</si>
  <si>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</si>
  <si>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</si>
  <si>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</si>
  <si>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</si>
  <si>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</si>
  <si>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</si>
  <si>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</si>
  <si>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</si>
  <si>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</si>
  <si>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</si>
  <si>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</si>
  <si>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</si>
  <si>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</si>
  <si>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</si>
  <si>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</si>
  <si>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</si>
  <si>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</si>
  <si>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</si>
  <si>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</si>
  <si>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</si>
  <si>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</si>
  <si>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</si>
  <si>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</si>
  <si>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</si>
  <si>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</si>
  <si>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</si>
  <si>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</si>
  <si>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</si>
  <si>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</si>
  <si>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</si>
  <si>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</si>
  <si>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</si>
  <si>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</si>
  <si>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</si>
  <si>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</si>
  <si>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</si>
  <si>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</si>
  <si>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</si>
  <si>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</si>
  <si>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</si>
  <si>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</si>
  <si>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</si>
  <si>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</si>
  <si>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</si>
  <si>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</si>
  <si>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</si>
  <si>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</si>
  <si>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</si>
  <si>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</si>
  <si>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</si>
  <si>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</si>
  <si>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</si>
  <si>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</si>
  <si>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</si>
  <si>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</si>
  <si>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</si>
  <si>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</si>
  <si>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</si>
  <si>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</si>
  <si>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</si>
  <si>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</si>
  <si>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</si>
  <si>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</si>
  <si>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</si>
  <si>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</si>
  <si>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</si>
  <si>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</si>
  <si>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</si>
  <si>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</si>
  <si>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</si>
  <si>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</si>
  <si>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</si>
  <si>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</si>
  <si>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</si>
  <si>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</si>
  <si>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</si>
  <si>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</si>
  <si>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</si>
  <si>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</si>
  <si>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</si>
  <si>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</si>
  <si>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</si>
  <si>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</si>
  <si>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</si>
  <si>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</si>
  <si>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</si>
  <si>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</si>
  <si>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</si>
  <si>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</si>
  <si>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</si>
  <si>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</si>
  <si>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</si>
  <si>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</si>
  <si>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</si>
  <si>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</si>
  <si>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</si>
  <si>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</si>
  <si>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</si>
  <si>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</si>
  <si>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</si>
  <si>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</si>
  <si>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</si>
  <si>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</si>
  <si>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</si>
  <si>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</si>
  <si>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</si>
  <si>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</si>
  <si>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</si>
  <si>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</si>
  <si>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</si>
  <si>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</si>
  <si>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</si>
  <si>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</si>
  <si>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</si>
  <si>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</si>
  <si>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</si>
  <si>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</si>
  <si>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</si>
  <si>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</si>
  <si>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</si>
  <si>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</si>
  <si>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</si>
  <si>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</si>
  <si>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</si>
  <si>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</si>
  <si>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</si>
  <si>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</si>
  <si>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</si>
  <si>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</si>
  <si>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</si>
  <si>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</si>
  <si>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</si>
  <si>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</si>
  <si>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</si>
  <si>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</si>
  <si>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</si>
  <si>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</si>
  <si>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</si>
  <si>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</si>
  <si>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</si>
  <si>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</si>
  <si>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</si>
  <si>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</si>
  <si>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</si>
  <si>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</si>
  <si>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</si>
  <si>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</si>
  <si>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</si>
  <si>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</si>
  <si>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</si>
  <si>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</si>
  <si>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</si>
  <si>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</si>
  <si>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</si>
  <si>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</si>
  <si>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</si>
  <si>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</si>
  <si>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</si>
  <si>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</si>
  <si>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</si>
  <si>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</si>
  <si>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</si>
  <si>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</si>
  <si>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</si>
  <si>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</si>
  <si>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</si>
  <si>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</si>
  <si>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</si>
  <si>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</si>
  <si>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</si>
  <si>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</si>
  <si>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</si>
  <si>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</si>
  <si>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</si>
  <si>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</si>
  <si>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</si>
  <si>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</si>
  <si>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</si>
  <si>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</si>
  <si>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</si>
  <si>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</si>
  <si>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</si>
  <si>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</si>
  <si>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</si>
  <si>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</si>
  <si>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</si>
  <si>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</si>
  <si>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</si>
  <si>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</si>
  <si>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</si>
  <si>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</si>
  <si>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</si>
  <si>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</si>
  <si>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</si>
  <si>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</si>
  <si>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</si>
  <si>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</si>
  <si>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</si>
  <si>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</si>
  <si>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</si>
  <si>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</si>
  <si>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</si>
  <si>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</si>
  <si>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</si>
  <si>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</si>
  <si>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</si>
  <si>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</si>
  <si>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</si>
  <si>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</si>
  <si>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</si>
  <si>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</si>
  <si>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</si>
  <si>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</si>
  <si>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</si>
  <si>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</si>
  <si>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</si>
  <si>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</si>
  <si>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</si>
  <si>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</si>
  <si>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</si>
  <si>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</si>
  <si>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</si>
  <si>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</si>
  <si>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</si>
  <si>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</si>
  <si>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</si>
  <si>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</si>
  <si>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</si>
  <si>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</si>
  <si>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</si>
  <si>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</si>
  <si>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</si>
  <si>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</si>
  <si>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</si>
  <si>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</si>
  <si>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</si>
  <si>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</si>
  <si>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</si>
  <si>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</si>
  <si>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</si>
  <si>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</si>
  <si>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</si>
  <si>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</si>
  <si>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</si>
  <si>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</si>
  <si>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</si>
  <si>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</si>
  <si>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</si>
  <si>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</si>
  <si>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</si>
  <si>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</si>
  <si>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</si>
  <si>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</si>
  <si>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</si>
  <si>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</si>
  <si>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</si>
  <si>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</si>
  <si>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</si>
  <si>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</si>
  <si>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</si>
  <si>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</si>
  <si>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</si>
  <si>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</si>
  <si>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</si>
  <si>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</si>
  <si>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</si>
  <si>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</si>
  <si>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</si>
  <si>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</si>
  <si>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</si>
  <si>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</si>
  <si>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</si>
  <si>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</si>
  <si>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</si>
  <si>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</si>
  <si>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</si>
  <si>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</si>
  <si>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</si>
  <si>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</si>
  <si>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</si>
  <si>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</si>
  <si>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</si>
  <si>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</si>
  <si>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</si>
  <si>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</si>
  <si>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</si>
  <si>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</si>
  <si>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</si>
  <si>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</si>
  <si>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</si>
  <si>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</si>
  <si>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</si>
  <si>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</si>
  <si>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</si>
  <si>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</si>
  <si>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</si>
  <si>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</si>
  <si>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</si>
  <si>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</si>
  <si>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</si>
  <si>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</si>
  <si>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</si>
  <si>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</si>
  <si>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</si>
  <si>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</si>
  <si>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</si>
  <si>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</si>
  <si>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</si>
  <si>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</si>
  <si>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</si>
  <si>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</si>
  <si>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</si>
  <si>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</si>
  <si>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</si>
  <si>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</si>
  <si>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</si>
  <si>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</si>
  <si>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</si>
  <si>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</si>
  <si>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</si>
  <si>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</si>
  <si>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</si>
  <si>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</si>
  <si>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</si>
  <si>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</si>
  <si>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</si>
  <si>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</si>
  <si>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</si>
  <si>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</si>
  <si>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</si>
  <si>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</si>
  <si>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</si>
  <si>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</si>
  <si>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</si>
  <si>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</si>
  <si>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</si>
  <si>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</si>
  <si>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</si>
  <si>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</si>
  <si>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</si>
  <si>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</si>
  <si>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</si>
  <si>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</si>
  <si>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</si>
  <si>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</si>
  <si>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</si>
  <si>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</si>
  <si>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</si>
  <si>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</si>
  <si>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</si>
  <si>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</si>
  <si>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</si>
  <si>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</si>
  <si>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</si>
  <si>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</si>
  <si>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</si>
  <si>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</si>
  <si>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</si>
  <si>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</si>
  <si>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</si>
  <si>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</si>
  <si>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</si>
  <si>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</si>
  <si>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</si>
  <si>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</si>
  <si>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</si>
  <si>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</si>
  <si>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</si>
  <si>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</si>
  <si>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</si>
  <si>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</si>
  <si>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</si>
  <si>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</si>
  <si>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</si>
  <si>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</si>
  <si>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</si>
  <si>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</si>
  <si>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</si>
  <si>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</si>
  <si>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</si>
  <si>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</si>
  <si>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</si>
  <si>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</si>
  <si>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</si>
  <si>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</si>
  <si>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</si>
  <si>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</si>
  <si>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</si>
  <si>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</si>
  <si>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</si>
  <si>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</si>
  <si>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</si>
  <si>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</si>
  <si>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</si>
  <si>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</si>
  <si>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</si>
  <si>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</si>
  <si>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</si>
  <si>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</si>
  <si>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</si>
  <si>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</si>
  <si>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</si>
  <si>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</si>
  <si>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</si>
  <si>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</si>
  <si>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</si>
  <si>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</si>
  <si>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</si>
  <si>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</si>
  <si>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</si>
  <si>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</si>
  <si>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</si>
  <si>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</si>
  <si>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</si>
  <si>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</si>
  <si>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</si>
  <si>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</si>
  <si>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</si>
  <si>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</si>
  <si>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</si>
  <si>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</si>
  <si>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</si>
  <si>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</si>
  <si>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</si>
  <si>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</si>
  <si>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</si>
  <si>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</si>
  <si>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</si>
  <si>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</si>
  <si>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</si>
  <si>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</si>
  <si>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</si>
  <si>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</si>
  <si>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</si>
  <si>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</si>
  <si>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</si>
  <si>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</si>
  <si>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</si>
  <si>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</si>
  <si>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</si>
  <si>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</si>
  <si>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</si>
  <si>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</si>
  <si>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</si>
  <si>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</si>
  <si>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</si>
  <si>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</si>
  <si>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</si>
  <si>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</si>
  <si>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</si>
  <si>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</si>
  <si>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</si>
  <si>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</si>
  <si>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</si>
  <si>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</si>
  <si>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</si>
  <si>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</si>
  <si>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</si>
  <si>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</si>
  <si>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</si>
  <si>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</si>
  <si>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</si>
  <si>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</si>
  <si>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</si>
  <si>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</si>
  <si>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</si>
  <si>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</si>
  <si>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</si>
  <si>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</si>
  <si>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</si>
  <si>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</si>
  <si>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</si>
  <si>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</si>
  <si>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</si>
  <si>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</si>
  <si>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</si>
  <si>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</si>
  <si>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</si>
  <si>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</si>
  <si>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</si>
  <si>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</si>
  <si>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</si>
  <si>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</si>
  <si>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</si>
  <si>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</si>
  <si>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</si>
  <si>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</si>
  <si>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</si>
  <si>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</si>
  <si>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</si>
  <si>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</si>
  <si>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</si>
  <si>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</si>
  <si>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</si>
  <si>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</si>
  <si>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</si>
  <si>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</si>
  <si>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</si>
  <si>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</si>
  <si>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</si>
  <si>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</si>
  <si>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</si>
  <si>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</si>
  <si>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</si>
  <si>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</si>
  <si>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</si>
  <si>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</si>
  <si>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</si>
  <si>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</si>
  <si>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</si>
  <si>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</si>
  <si>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</si>
  <si>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</si>
  <si>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</si>
  <si>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</si>
  <si>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</si>
  <si>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</si>
  <si>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</si>
  <si>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</si>
  <si>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</si>
  <si>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</si>
  <si>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</si>
  <si>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</si>
  <si>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</si>
  <si>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</si>
  <si>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</si>
  <si>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</si>
  <si>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</si>
  <si>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</si>
  <si>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</si>
  <si>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</si>
  <si>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</si>
  <si>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</si>
  <si>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</si>
  <si>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</si>
  <si>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</si>
  <si>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</si>
  <si>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</si>
  <si>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</si>
  <si>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</si>
  <si>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</si>
  <si>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</si>
  <si>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</si>
  <si>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</si>
  <si>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</si>
  <si>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</si>
  <si>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</si>
  <si>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</si>
  <si>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</si>
  <si>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</si>
  <si>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</si>
  <si>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</si>
  <si>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</si>
  <si>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</si>
  <si>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</si>
  <si>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</si>
  <si>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</si>
  <si>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</si>
  <si>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</si>
  <si>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</si>
  <si>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</si>
  <si>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</si>
  <si>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</si>
  <si>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</si>
  <si>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</si>
  <si>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</si>
  <si>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</si>
  <si>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</si>
  <si>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</si>
  <si>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</si>
  <si>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</si>
  <si>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</si>
  <si>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</si>
  <si>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</si>
  <si>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</si>
  <si>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</si>
  <si>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</si>
  <si>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</si>
  <si>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</si>
  <si>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</si>
  <si>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</si>
  <si>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</si>
  <si>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</si>
  <si>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</si>
  <si>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</si>
  <si>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</si>
  <si>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</si>
  <si>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</si>
  <si>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</si>
  <si>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</si>
  <si>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</si>
  <si>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</si>
  <si>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</si>
  <si>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</si>
  <si>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</si>
  <si>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</si>
  <si>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</si>
  <si>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</si>
  <si>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</si>
  <si>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</si>
  <si>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</si>
  <si>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</si>
  <si>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</si>
  <si>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</si>
  <si>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</si>
  <si>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</si>
  <si>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</si>
  <si>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</si>
  <si>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</si>
  <si>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</si>
  <si>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</si>
  <si>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</si>
  <si>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</si>
  <si>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</si>
  <si>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</si>
  <si>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</si>
  <si>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</si>
  <si>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</si>
  <si>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</si>
  <si>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</si>
  <si>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</si>
  <si>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</si>
  <si>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</si>
  <si>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</si>
  <si>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</si>
  <si>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</si>
  <si>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</si>
  <si>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</si>
  <si>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</si>
  <si>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</si>
  <si>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</si>
  <si>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</si>
  <si>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</si>
  <si>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</si>
  <si>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</si>
  <si>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</si>
  <si>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</si>
  <si>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</si>
  <si>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</si>
  <si>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</si>
  <si>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</si>
  <si>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</si>
  <si>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</si>
  <si>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</si>
  <si>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</si>
  <si>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</si>
  <si>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</si>
  <si>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</si>
  <si>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</si>
  <si>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</si>
  <si>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</si>
  <si>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</si>
  <si>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</si>
  <si>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</si>
  <si>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</si>
  <si>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</si>
  <si>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</si>
  <si>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</si>
  <si>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</si>
  <si>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</si>
  <si>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</si>
  <si>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</si>
  <si>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</si>
  <si>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</si>
  <si>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</si>
  <si>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</si>
  <si>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</si>
  <si>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</si>
  <si>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</si>
  <si>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</si>
  <si>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</si>
  <si>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</si>
  <si>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</si>
  <si>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</si>
  <si>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</si>
  <si>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</si>
  <si>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</si>
  <si>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</si>
  <si>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</si>
  <si>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</si>
  <si>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</si>
  <si>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</si>
  <si>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</si>
  <si>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</si>
  <si>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</si>
  <si>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</si>
  <si>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</si>
  <si>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</si>
  <si>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</si>
  <si>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</si>
  <si>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</si>
  <si>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</si>
  <si>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</si>
  <si>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</si>
  <si>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</si>
  <si>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</si>
  <si>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</si>
  <si>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</si>
  <si>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</si>
  <si>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</si>
  <si>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</si>
  <si>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</si>
  <si>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</si>
  <si>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</si>
  <si>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</si>
  <si>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</si>
  <si>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</si>
  <si>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</si>
  <si>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</si>
  <si>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</si>
  <si>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</si>
  <si>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</si>
  <si>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</si>
  <si>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</si>
  <si>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</si>
  <si>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</si>
  <si>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</si>
  <si>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</si>
  <si>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</si>
  <si>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</si>
  <si>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</si>
  <si>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</si>
  <si>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</si>
  <si>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</si>
  <si>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</si>
  <si>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</si>
  <si>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</si>
  <si>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</si>
  <si>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</si>
  <si>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</si>
  <si>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</si>
  <si>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</si>
  <si>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</si>
  <si>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</si>
  <si>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</si>
  <si>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</si>
  <si>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</si>
  <si>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</si>
  <si>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</si>
  <si>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</si>
  <si>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</si>
  <si>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</si>
  <si>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</si>
  <si>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</si>
  <si>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</si>
  <si>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</si>
  <si>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</si>
  <si>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</si>
  <si>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</si>
  <si>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</si>
  <si>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</si>
  <si>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</si>
  <si>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</si>
  <si>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</si>
  <si>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</si>
  <si>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</si>
  <si>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</si>
  <si>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</si>
  <si>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</si>
  <si>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</si>
  <si>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</si>
  <si>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</si>
  <si>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</si>
  <si>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</si>
  <si>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</si>
  <si>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</si>
  <si>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</si>
  <si>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</si>
  <si>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</si>
  <si>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</si>
  <si>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</si>
  <si>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</si>
  <si>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</si>
  <si>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</si>
  <si>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</si>
  <si>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</si>
  <si>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</si>
  <si>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</si>
  <si>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</si>
  <si>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</si>
  <si>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</si>
  <si>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</si>
  <si>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</si>
  <si>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</si>
  <si>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</si>
  <si>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</si>
  <si>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</si>
  <si>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</si>
  <si>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</si>
  <si>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</si>
  <si>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</si>
  <si>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</si>
  <si>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</si>
  <si>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</si>
  <si>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</si>
  <si>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</si>
  <si>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</si>
  <si>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</si>
  <si>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</si>
  <si>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</si>
  <si>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</si>
  <si>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</si>
  <si>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</si>
  <si>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</si>
  <si>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</si>
  <si>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</si>
  <si>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</si>
  <si>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</si>
  <si>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</si>
  <si>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</si>
  <si>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</si>
  <si>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</si>
  <si>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</si>
  <si>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</si>
  <si>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</si>
  <si>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</si>
  <si>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</si>
  <si>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</si>
  <si>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</si>
  <si>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</si>
  <si>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</si>
  <si>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</si>
  <si>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</si>
  <si>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</si>
  <si>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</si>
  <si>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</si>
  <si>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</si>
  <si>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</si>
  <si>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</si>
  <si>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</si>
  <si>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</si>
  <si>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</si>
  <si>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</si>
  <si>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</si>
  <si>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</si>
  <si>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</si>
  <si>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</si>
  <si>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</si>
  <si>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</si>
  <si>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</si>
  <si>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</si>
  <si>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</si>
  <si>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</si>
  <si>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</si>
  <si>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</si>
  <si>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</si>
  <si>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</si>
  <si>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</si>
  <si>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</si>
  <si>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</si>
  <si>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</si>
  <si>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</si>
  <si>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</si>
  <si>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</si>
  <si>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</si>
  <si>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</si>
  <si>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</si>
  <si>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</si>
  <si>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</si>
  <si>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</si>
  <si>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</si>
  <si>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</si>
  <si>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</si>
  <si>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</si>
  <si>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</si>
  <si>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</si>
  <si>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</si>
  <si>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</si>
  <si>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</si>
  <si>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</si>
  <si>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</si>
  <si>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</si>
  <si>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</si>
  <si>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</si>
  <si>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</si>
  <si>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</si>
  <si>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</si>
  <si>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</si>
  <si>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</si>
  <si>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</si>
  <si>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</si>
  <si>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</si>
  <si>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</si>
  <si>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</si>
  <si>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</si>
  <si>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</si>
  <si>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</si>
  <si>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</si>
  <si>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</si>
  <si>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</si>
  <si>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</si>
  <si>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</si>
  <si>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</si>
  <si>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</si>
  <si>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</si>
  <si>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</si>
  <si>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</si>
  <si>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</si>
  <si>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</si>
  <si>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</si>
  <si>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</si>
  <si>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</si>
  <si>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</si>
  <si>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</si>
  <si>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</si>
  <si>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</si>
  <si>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</si>
  <si>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</si>
  <si>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</si>
  <si>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</si>
  <si>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</si>
  <si>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</si>
  <si>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</si>
  <si>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</si>
  <si>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</si>
  <si>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</si>
  <si>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</si>
  <si>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</si>
  <si>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</si>
  <si>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</si>
  <si>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</si>
  <si>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</si>
  <si>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</si>
  <si>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</si>
  <si>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</si>
  <si>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</si>
  <si>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</si>
  <si>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</si>
  <si>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</si>
  <si>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</si>
  <si>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</si>
  <si>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</si>
  <si>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</si>
  <si>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</si>
  <si>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</si>
  <si>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</si>
  <si>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</si>
  <si>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</si>
  <si>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</si>
  <si>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</si>
  <si>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</si>
  <si>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</si>
  <si>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</si>
  <si>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</si>
  <si>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</si>
  <si>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</si>
  <si>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</si>
  <si>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</si>
  <si>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</si>
  <si>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</si>
  <si>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</si>
  <si>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</si>
  <si>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</si>
  <si>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</si>
  <si>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</si>
  <si>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</si>
  <si>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</si>
  <si>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</si>
  <si>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</si>
  <si>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</si>
  <si>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</si>
  <si>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</si>
  <si>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</si>
  <si>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</si>
  <si>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</si>
  <si>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</si>
  <si>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</si>
  <si>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</si>
  <si>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</si>
  <si>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</si>
  <si>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</si>
  <si>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</si>
  <si>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</si>
  <si>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</si>
  <si>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</si>
  <si>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</si>
  <si>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</si>
  <si>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</si>
  <si>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</si>
  <si>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</si>
  <si>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</si>
  <si>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</si>
  <si>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</si>
  <si>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</si>
  <si>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</si>
  <si>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</si>
  <si>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</si>
  <si>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</si>
  <si>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</si>
  <si>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</si>
  <si>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</si>
  <si>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</si>
  <si>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</si>
  <si>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</si>
  <si>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</si>
  <si>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</si>
  <si>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</si>
  <si>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</si>
  <si>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</si>
  <si>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</si>
  <si>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</si>
  <si>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</si>
  <si>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</si>
  <si>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</si>
  <si>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</si>
  <si>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</si>
  <si>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</si>
  <si>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</si>
  <si>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</si>
  <si>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</si>
  <si>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</si>
  <si>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</si>
  <si>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</si>
  <si>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</si>
  <si>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</si>
  <si>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</si>
  <si>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</si>
  <si>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</si>
  <si>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</si>
  <si>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</si>
  <si>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</si>
  <si>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</si>
  <si>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</si>
  <si>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</si>
  <si>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</si>
  <si>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</si>
  <si>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</si>
  <si>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</si>
  <si>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</si>
  <si>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</si>
  <si>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</si>
  <si>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</si>
  <si>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</si>
  <si>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</si>
  <si>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</si>
  <si>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</si>
  <si>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</si>
  <si>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</si>
  <si>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</si>
  <si>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</si>
  <si>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</si>
  <si>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</si>
  <si>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</si>
  <si>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</si>
  <si>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</si>
  <si>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</si>
  <si>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</si>
  <si>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</si>
  <si>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</si>
  <si>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</si>
  <si>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</si>
  <si>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</si>
  <si>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</si>
  <si>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</si>
  <si>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</si>
  <si>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</si>
  <si>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</si>
  <si>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</si>
  <si>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</si>
  <si>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</si>
  <si>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</si>
  <si>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</si>
  <si>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</si>
  <si>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</si>
  <si>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</si>
  <si>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</si>
  <si>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</si>
  <si>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</si>
  <si>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</si>
  <si>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</si>
  <si>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</si>
  <si>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</si>
  <si>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</si>
  <si>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</si>
  <si>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</si>
  <si>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</si>
  <si>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</si>
  <si>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</si>
  <si>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</si>
  <si>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</si>
  <si>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</si>
  <si>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</si>
  <si>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</si>
  <si>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</si>
  <si>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</si>
  <si>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</si>
  <si>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</si>
  <si>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</si>
  <si>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</si>
  <si>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</si>
  <si>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</si>
  <si>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</si>
  <si>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</si>
  <si>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</si>
  <si>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</si>
  <si>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</si>
  <si>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</si>
  <si>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</si>
  <si>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</si>
  <si>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</si>
  <si>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</si>
  <si>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</si>
  <si>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</si>
  <si>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</si>
  <si>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</si>
  <si>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</si>
  <si>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</si>
  <si>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</si>
  <si>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</si>
  <si>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</si>
  <si>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</si>
  <si>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</si>
  <si>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</si>
  <si>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</si>
  <si>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</si>
  <si>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</si>
  <si>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</si>
  <si>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</si>
  <si>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</si>
  <si>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</si>
  <si>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</si>
  <si>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</si>
  <si>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</si>
  <si>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</si>
  <si>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</si>
  <si>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</si>
  <si>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</si>
  <si>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</si>
  <si>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</si>
  <si>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</si>
  <si>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</si>
  <si>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</si>
  <si>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</si>
  <si>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</si>
  <si>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</si>
  <si>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</si>
  <si>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</si>
  <si>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</si>
  <si>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</si>
  <si>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</si>
  <si>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</si>
  <si>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</si>
  <si>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</si>
  <si>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</si>
  <si>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</si>
  <si>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</si>
  <si>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</si>
  <si>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</si>
  <si>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</si>
  <si>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</si>
  <si>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</si>
  <si>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</si>
  <si>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</si>
  <si>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</si>
  <si>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</si>
  <si>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</si>
  <si>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</si>
  <si>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</si>
  <si>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</si>
  <si>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</si>
  <si>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</si>
  <si>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</si>
  <si>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</si>
  <si>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</si>
  <si>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</si>
  <si>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</si>
  <si>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</si>
  <si>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</si>
  <si>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</si>
  <si>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</si>
  <si>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</si>
  <si>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</si>
  <si>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</si>
  <si>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</si>
  <si>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</si>
  <si>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</si>
  <si>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</si>
  <si>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</si>
  <si>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</si>
  <si>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</si>
  <si>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</si>
  <si>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</si>
  <si>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</si>
  <si>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</si>
  <si>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</si>
  <si>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</si>
  <si>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</si>
  <si>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</si>
  <si>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</si>
  <si>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</si>
  <si>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</si>
  <si>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</si>
  <si>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</si>
  <si>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</si>
  <si>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</si>
  <si>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</si>
  <si>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</si>
  <si>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</si>
  <si>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</si>
  <si>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</si>
  <si>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</si>
  <si>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</si>
  <si>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</si>
  <si>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</si>
  <si>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</si>
  <si>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</si>
  <si>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</si>
  <si>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</si>
  <si>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</si>
  <si>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</si>
  <si>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</si>
  <si>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</si>
  <si>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</si>
  <si>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</si>
  <si>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</si>
  <si>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</si>
  <si>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</si>
  <si>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</si>
  <si>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</si>
  <si>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</si>
  <si>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</si>
  <si>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</si>
  <si>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</si>
  <si>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</si>
  <si>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</si>
  <si>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</si>
  <si>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</si>
  <si>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</si>
  <si>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</si>
  <si>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</si>
  <si>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</si>
  <si>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</si>
  <si>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</si>
  <si>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</si>
  <si>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</si>
  <si>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</si>
  <si>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</si>
  <si>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</si>
  <si>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</si>
  <si>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</si>
  <si>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</si>
  <si>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</si>
  <si>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</si>
  <si>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</si>
  <si>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</si>
  <si>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</si>
  <si>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</si>
  <si>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</si>
  <si>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</si>
  <si>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</si>
  <si>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</si>
  <si>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</si>
  <si>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</si>
  <si>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</si>
  <si>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</si>
  <si>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</si>
  <si>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</si>
  <si>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</si>
  <si>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</si>
  <si>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</si>
  <si>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</si>
  <si>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</si>
  <si>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</si>
  <si>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</si>
  <si>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</si>
  <si>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</si>
  <si>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</si>
  <si>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</si>
  <si>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</si>
  <si>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</si>
  <si>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</si>
  <si>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</si>
  <si>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</si>
  <si>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</si>
  <si>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</si>
  <si>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</si>
  <si>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</si>
  <si>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</si>
  <si>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</si>
  <si>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</si>
  <si>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</si>
  <si>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</si>
  <si>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</si>
  <si>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</si>
  <si>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</si>
  <si>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</si>
  <si>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</si>
  <si>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</si>
  <si>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</si>
  <si>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</si>
  <si>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</si>
  <si>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</si>
  <si>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</si>
  <si>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</si>
  <si>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</si>
  <si>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</si>
  <si>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</si>
  <si>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</si>
  <si>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</si>
  <si>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</si>
  <si>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</si>
  <si>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</si>
  <si>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</si>
  <si>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</si>
  <si>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</si>
  <si>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</si>
  <si>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</si>
  <si>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</si>
  <si>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</si>
  <si>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</si>
  <si>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</si>
  <si>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</si>
  <si>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</si>
  <si>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</si>
  <si>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</si>
  <si>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</si>
  <si>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</si>
  <si>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</si>
  <si>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</si>
  <si>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</si>
  <si>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</si>
  <si>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</si>
  <si>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</si>
  <si>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</si>
  <si>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</si>
  <si>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</si>
  <si>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</si>
  <si>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</si>
  <si>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</si>
  <si>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</si>
  <si>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</si>
  <si>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</si>
  <si>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</si>
  <si>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</si>
  <si>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</si>
  <si>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</si>
  <si>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</si>
  <si>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</si>
  <si>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</si>
  <si>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</si>
  <si>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</si>
  <si>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</si>
  <si>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</si>
  <si>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</si>
  <si>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</si>
  <si>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</si>
  <si>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</si>
  <si>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</si>
  <si>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</si>
  <si>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</si>
  <si>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</si>
  <si>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</si>
  <si>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</si>
  <si>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</si>
  <si>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</si>
  <si>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</si>
  <si>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</si>
  <si>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</si>
  <si>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</si>
  <si>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</si>
  <si>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</si>
  <si>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</si>
  <si>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</si>
  <si>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</si>
  <si>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</si>
  <si>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</si>
  <si>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</si>
  <si>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</si>
  <si>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</si>
  <si>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</si>
  <si>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</si>
  <si>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</si>
  <si>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</si>
  <si>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</si>
  <si>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</si>
  <si>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</si>
  <si>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</si>
  <si>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</si>
  <si>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</si>
  <si>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</si>
  <si>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</si>
  <si>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</si>
  <si>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</si>
  <si>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</si>
  <si>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</si>
  <si>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</si>
  <si>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</si>
  <si>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</si>
  <si>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</si>
  <si>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</si>
  <si>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</si>
  <si>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</si>
  <si>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</si>
  <si>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</si>
  <si>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</si>
  <si>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</si>
  <si>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</si>
  <si>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</si>
  <si>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</si>
  <si>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</si>
  <si>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</si>
  <si>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</si>
  <si>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</si>
  <si>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</si>
  <si>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</si>
  <si>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</si>
  <si>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</si>
  <si>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</si>
  <si>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</si>
  <si>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</si>
  <si>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</si>
  <si>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</si>
  <si>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</si>
  <si>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</si>
  <si>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</si>
  <si>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</si>
  <si>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</si>
  <si>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</si>
  <si>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</si>
  <si>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</si>
  <si>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</si>
  <si>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</si>
  <si>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</si>
  <si>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</si>
  <si>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</si>
  <si>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</si>
  <si>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</si>
  <si>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</si>
  <si>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</si>
  <si>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</si>
  <si>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</si>
  <si>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</si>
  <si>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</si>
  <si>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</si>
  <si>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</si>
  <si>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</si>
  <si>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</si>
  <si>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</si>
  <si>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</si>
  <si>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</si>
  <si>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</si>
  <si>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</si>
  <si>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</si>
  <si>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</si>
  <si>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</si>
  <si>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</si>
  <si>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</si>
  <si>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</si>
  <si>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</si>
  <si>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</si>
  <si>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</si>
  <si>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</si>
  <si>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</si>
  <si>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</si>
  <si>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</si>
  <si>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</si>
  <si>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</si>
  <si>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</si>
  <si>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</si>
  <si>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</si>
  <si>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</si>
  <si>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</si>
  <si>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</si>
  <si>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</si>
  <si>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</si>
  <si>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</si>
  <si>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</si>
  <si>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</si>
  <si>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</si>
  <si>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</si>
  <si>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</si>
  <si>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</si>
  <si>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</si>
  <si>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</si>
  <si>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</si>
  <si>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</si>
  <si>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</si>
  <si>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</si>
  <si>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</si>
  <si>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</si>
  <si>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</si>
  <si>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</si>
  <si>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</si>
  <si>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</si>
  <si>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</si>
  <si>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</si>
  <si>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</si>
  <si>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</si>
  <si>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</si>
  <si>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</si>
  <si>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</si>
  <si>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</si>
  <si>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</si>
  <si>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</si>
  <si>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</si>
  <si>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</si>
  <si>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</si>
  <si>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</si>
  <si>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</si>
  <si>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</si>
  <si>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</si>
  <si>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</si>
  <si>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</si>
  <si>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</si>
  <si>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</si>
  <si>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</si>
  <si>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</si>
  <si>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</si>
  <si>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</si>
  <si>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</si>
  <si>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</si>
  <si>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</si>
  <si>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</si>
  <si>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</si>
  <si>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</si>
  <si>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</si>
  <si>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</si>
  <si>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</si>
  <si>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</si>
  <si>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</si>
  <si>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</si>
  <si>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</si>
  <si>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</si>
  <si>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</si>
  <si>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</si>
  <si>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</si>
  <si>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</si>
  <si>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</si>
  <si>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</si>
  <si>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</si>
  <si>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</si>
  <si>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</si>
  <si>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</si>
  <si>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</si>
  <si>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</si>
  <si>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</si>
  <si>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</si>
  <si>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</si>
  <si>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</si>
  <si>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</si>
  <si>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</si>
  <si>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</si>
  <si>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</si>
  <si>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</si>
  <si>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</si>
  <si>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</si>
  <si>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</si>
  <si>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</si>
  <si>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</si>
  <si>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</si>
  <si>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</si>
  <si>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</si>
  <si>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</si>
  <si>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</si>
  <si>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</si>
  <si>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</si>
  <si>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</si>
  <si>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</si>
  <si>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</si>
  <si>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</si>
  <si>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</si>
  <si>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</si>
  <si>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</si>
  <si>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</si>
  <si>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</si>
  <si>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</si>
  <si>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</si>
  <si>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</si>
  <si>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</si>
  <si>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</si>
  <si>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</si>
  <si>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</si>
  <si>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</si>
  <si>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</si>
  <si>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</si>
  <si>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</si>
  <si>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</si>
  <si>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</si>
  <si>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</si>
  <si>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</si>
  <si>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</si>
  <si>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</si>
  <si>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</si>
  <si>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</si>
  <si>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</si>
  <si>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</si>
  <si>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</si>
  <si>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</si>
  <si>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</si>
  <si>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</si>
  <si>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</si>
  <si>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</si>
  <si>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</si>
  <si>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</si>
  <si>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</si>
  <si>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</si>
  <si>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</si>
  <si>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</si>
  <si>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</si>
  <si>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</si>
  <si>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</si>
  <si>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</si>
  <si>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</si>
  <si>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</si>
  <si>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</si>
  <si>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</si>
  <si>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</si>
  <si>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</si>
  <si>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</si>
  <si>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</si>
  <si>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</si>
  <si>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</si>
  <si>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</si>
  <si>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</si>
  <si>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</si>
  <si>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</si>
  <si>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</si>
  <si>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</si>
  <si>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</si>
  <si>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</si>
  <si>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</si>
  <si>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</si>
  <si>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</si>
  <si>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</si>
  <si>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</si>
  <si>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</si>
  <si>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</si>
  <si>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</si>
  <si>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</si>
  <si>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</si>
  <si>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</si>
  <si>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</si>
  <si>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</si>
  <si>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</si>
  <si>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</si>
  <si>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</si>
  <si>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</si>
  <si>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</si>
  <si>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</si>
  <si>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</si>
  <si>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</si>
  <si>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</si>
  <si>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</si>
  <si>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</si>
  <si>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</si>
  <si>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</si>
  <si>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</si>
  <si>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</si>
  <si>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</si>
  <si>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</si>
  <si>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</si>
  <si>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</si>
  <si>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</si>
  <si>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</si>
  <si>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</si>
  <si>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</si>
  <si>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</si>
  <si>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</si>
  <si>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</si>
  <si>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</si>
  <si>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</si>
  <si>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</si>
  <si>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</si>
  <si>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</si>
  <si>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</si>
  <si>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</si>
  <si>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</si>
  <si>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</si>
  <si>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</si>
  <si>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</si>
  <si>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</si>
  <si>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</si>
  <si>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</si>
  <si>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</si>
  <si>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</si>
  <si>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</si>
  <si>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</si>
  <si>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</si>
  <si>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</si>
  <si>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</si>
  <si>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</si>
  <si>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</si>
  <si>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</si>
  <si>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</si>
  <si>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</si>
  <si>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</si>
  <si>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</si>
  <si>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</si>
  <si>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</si>
  <si>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</si>
  <si>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</si>
  <si>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</si>
  <si>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</si>
  <si>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</si>
  <si>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</si>
  <si>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</si>
  <si>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</si>
  <si>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</si>
  <si>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</si>
  <si>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</si>
  <si>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</si>
  <si>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</si>
  <si>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</si>
  <si>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</si>
  <si>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</si>
  <si>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</si>
  <si>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</si>
  <si>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</si>
  <si>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</si>
  <si>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</si>
  <si>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</si>
  <si>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</si>
  <si>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</si>
  <si>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</si>
  <si>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</si>
  <si>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</si>
  <si>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</si>
  <si>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</si>
  <si>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</si>
  <si>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</si>
  <si>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</si>
  <si>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</si>
  <si>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</si>
  <si>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</si>
  <si>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</si>
  <si>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</si>
  <si>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</si>
  <si>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</si>
  <si>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</si>
  <si>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</si>
  <si>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</si>
  <si>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</si>
  <si>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</si>
  <si>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</si>
  <si>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</si>
  <si>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</si>
  <si>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</si>
  <si>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</si>
  <si>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</si>
  <si>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</si>
  <si>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</si>
  <si>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</si>
  <si>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</si>
  <si>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</si>
  <si>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</si>
  <si>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</si>
  <si>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</si>
  <si>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</si>
  <si>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</si>
  <si>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</si>
  <si>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</si>
  <si>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</si>
  <si>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</si>
  <si>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</si>
  <si>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</si>
  <si>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</si>
  <si>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</si>
  <si>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</si>
  <si>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</si>
  <si>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</si>
  <si>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</si>
  <si>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</si>
  <si>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</si>
  <si>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</si>
  <si>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</si>
  <si>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</si>
  <si>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</si>
  <si>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</si>
  <si>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</si>
  <si>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</si>
  <si>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</si>
  <si>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</si>
  <si>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</si>
  <si>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</si>
  <si>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</si>
  <si>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</si>
  <si>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</si>
  <si>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</si>
  <si>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</si>
  <si>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</si>
  <si>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</si>
  <si>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</si>
  <si>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</si>
  <si>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</si>
  <si>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</si>
  <si>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</si>
  <si>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</si>
  <si>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</si>
  <si>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</si>
  <si>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</si>
  <si>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</si>
  <si>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</si>
  <si>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</si>
  <si>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</si>
  <si>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</si>
  <si>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</si>
  <si>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</si>
  <si>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</si>
  <si>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</si>
  <si>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</si>
  <si>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</si>
  <si>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</si>
  <si>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</si>
  <si>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</si>
  <si>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</si>
  <si>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</si>
  <si>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</si>
  <si>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</si>
  <si>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</si>
  <si>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</si>
  <si>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</si>
  <si>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</si>
  <si>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</si>
  <si>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</si>
  <si>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</si>
  <si>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</si>
  <si>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</si>
  <si>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</si>
  <si>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</si>
  <si>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</si>
  <si>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</si>
  <si>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</si>
  <si>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</si>
  <si>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</si>
  <si>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</si>
  <si>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</si>
  <si>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</si>
  <si>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</si>
  <si>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</si>
  <si>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</si>
  <si>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</si>
  <si>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</si>
  <si>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</si>
  <si>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</si>
  <si>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</si>
  <si>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</si>
  <si>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</si>
  <si>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</si>
  <si>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</si>
  <si>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</si>
  <si>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</si>
  <si>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</si>
  <si>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</si>
  <si>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</si>
  <si>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</si>
  <si>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</si>
  <si>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</si>
  <si>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</si>
  <si>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</si>
  <si>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</si>
  <si>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</si>
  <si>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</si>
  <si>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</si>
  <si>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</si>
  <si>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</si>
  <si>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</si>
  <si>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</si>
  <si>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</si>
  <si>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</si>
  <si>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</si>
  <si>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</si>
  <si>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</si>
  <si>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</si>
  <si>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</si>
  <si>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</si>
  <si>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</si>
  <si>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</si>
  <si>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</si>
  <si>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</si>
  <si>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</si>
  <si>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</si>
  <si>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</si>
  <si>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</si>
  <si>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</si>
  <si>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</si>
  <si>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</si>
  <si>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</si>
  <si>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</si>
  <si>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</si>
  <si>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</si>
  <si>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</si>
  <si>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</si>
  <si>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</si>
  <si>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</si>
  <si>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</si>
  <si>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</si>
  <si>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</si>
  <si>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</si>
  <si>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</si>
  <si>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</si>
  <si>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</si>
  <si>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</si>
  <si>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</si>
  <si>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</si>
  <si>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</si>
  <si>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</si>
  <si>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</si>
  <si>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</si>
  <si>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</si>
  <si>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</si>
  <si>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</si>
  <si>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</si>
  <si>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</si>
  <si>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</si>
  <si>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</si>
  <si>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</si>
  <si>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</si>
  <si>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</si>
  <si>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</si>
  <si>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</si>
  <si>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</si>
  <si>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</si>
  <si>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</si>
  <si>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</si>
  <si>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</si>
  <si>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</si>
  <si>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</si>
  <si>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</si>
  <si>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</si>
  <si>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</si>
  <si>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</si>
  <si>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</si>
  <si>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</si>
  <si>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</si>
  <si>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</si>
  <si>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</si>
  <si>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</si>
  <si>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</si>
  <si>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</si>
  <si>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</si>
  <si>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</si>
  <si>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</si>
  <si>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</si>
  <si>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</si>
  <si>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</si>
  <si>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</si>
  <si>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</si>
  <si>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</si>
  <si>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</si>
  <si>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</si>
  <si>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</si>
  <si>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</si>
  <si>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</si>
  <si>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</si>
  <si>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</si>
  <si>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</si>
  <si>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</si>
  <si>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</si>
  <si>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</si>
  <si>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</si>
  <si>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</si>
  <si>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</si>
  <si>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</si>
  <si>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</si>
  <si>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</si>
  <si>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</si>
  <si>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</si>
  <si>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</si>
  <si>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</si>
  <si>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</si>
  <si>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</si>
  <si>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</si>
  <si>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</si>
  <si>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</si>
  <si>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</si>
  <si>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</si>
  <si>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</si>
  <si>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</si>
  <si>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</si>
  <si>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</si>
  <si>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</si>
  <si>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</si>
  <si>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</si>
  <si>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</si>
  <si>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</si>
  <si>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</si>
  <si>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</si>
  <si>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</si>
  <si>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</si>
  <si>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</si>
  <si>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</si>
  <si>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</si>
  <si>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</si>
  <si>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</si>
  <si>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</si>
  <si>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</si>
  <si>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</si>
  <si>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</si>
  <si>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</si>
  <si>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</si>
  <si>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</si>
  <si>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</si>
  <si>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</si>
  <si>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</si>
  <si>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</si>
  <si>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</si>
  <si>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</si>
  <si>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</si>
  <si>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</si>
  <si>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</si>
  <si>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</si>
  <si>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</si>
  <si>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</si>
  <si>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</si>
  <si>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</si>
  <si>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</si>
  <si>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</si>
  <si>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</si>
  <si>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</si>
  <si>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</si>
  <si>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</si>
  <si>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</si>
  <si>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</si>
  <si>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</si>
  <si>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</si>
  <si>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</si>
  <si>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</si>
  <si>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</si>
  <si>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</si>
  <si>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</si>
  <si>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</si>
  <si>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</si>
  <si>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</si>
  <si>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</si>
  <si>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</si>
  <si>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</si>
  <si>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</si>
  <si>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</si>
  <si>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</si>
  <si>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</si>
  <si>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</si>
  <si>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</si>
  <si>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</si>
  <si>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</si>
  <si>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</si>
  <si>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</si>
  <si>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</si>
  <si>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</si>
  <si>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</si>
  <si>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</si>
  <si>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</si>
  <si>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</si>
  <si>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</si>
  <si>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</si>
  <si>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</si>
  <si>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</si>
  <si>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</si>
  <si>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</si>
  <si>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</si>
  <si>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</si>
  <si>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</si>
  <si>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</si>
  <si>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</si>
  <si>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</si>
  <si>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</si>
  <si>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</si>
  <si>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</si>
  <si>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</si>
  <si>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</si>
  <si>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</si>
  <si>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</si>
  <si>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</si>
  <si>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</si>
  <si>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</si>
  <si>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</si>
  <si>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</si>
  <si>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</si>
  <si>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</si>
  <si>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</si>
  <si>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</si>
  <si>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</si>
  <si>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</si>
  <si>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</si>
  <si>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</si>
  <si>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</si>
  <si>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</si>
  <si>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</si>
  <si>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</si>
  <si>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</si>
  <si>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</si>
  <si>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</si>
  <si>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</si>
  <si>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</si>
  <si>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</si>
  <si>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</si>
  <si>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</si>
  <si>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</si>
  <si>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</si>
  <si>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</si>
  <si>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</si>
  <si>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</si>
  <si>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</si>
  <si>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</si>
  <si>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</si>
  <si>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</si>
  <si>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</si>
  <si>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</si>
  <si>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</si>
  <si>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</si>
  <si>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</si>
  <si>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</si>
  <si>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</si>
  <si>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</si>
  <si>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</si>
  <si>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</si>
  <si>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</si>
  <si>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</si>
  <si>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</si>
  <si>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</si>
  <si>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</si>
  <si>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</si>
  <si>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</si>
  <si>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</si>
  <si>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</si>
  <si>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</si>
  <si>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</si>
  <si>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</si>
  <si>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</si>
  <si>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</si>
  <si>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</si>
  <si>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</si>
  <si>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</si>
  <si>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</si>
  <si>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</si>
  <si>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</si>
  <si>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</si>
  <si>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</si>
  <si>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</si>
  <si>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</si>
  <si>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</si>
  <si>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</si>
  <si>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</si>
  <si>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</si>
  <si>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</si>
  <si>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</si>
  <si>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</si>
  <si>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</si>
  <si>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</si>
  <si>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</si>
  <si>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</si>
  <si>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</si>
  <si>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</si>
  <si>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</si>
  <si>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</si>
  <si>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</si>
  <si>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</si>
  <si>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</si>
  <si>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</si>
  <si>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</si>
  <si>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</si>
  <si>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</si>
  <si>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</si>
  <si>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</si>
  <si>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</si>
  <si>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</si>
  <si>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</si>
  <si>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</si>
  <si>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</si>
  <si>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</si>
  <si>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</si>
  <si>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</si>
  <si>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</si>
  <si>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</si>
  <si>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</si>
  <si>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</si>
  <si>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</si>
  <si>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</si>
  <si>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</si>
  <si>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</si>
  <si>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</si>
  <si>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</si>
  <si>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</si>
  <si>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</si>
  <si>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</si>
  <si>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</si>
  <si>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</si>
  <si>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</si>
  <si>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</si>
  <si>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</si>
  <si>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</si>
  <si>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</si>
  <si>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</si>
  <si>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</si>
  <si>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</si>
  <si>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</si>
  <si>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</si>
  <si>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</si>
  <si>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</si>
  <si>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</si>
  <si>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</si>
  <si>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</si>
  <si>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</si>
  <si>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</si>
  <si>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</si>
  <si>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</si>
  <si>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</si>
  <si>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</si>
  <si>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</si>
  <si>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</si>
  <si>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</si>
  <si>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</si>
  <si>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</si>
  <si>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</si>
  <si>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</si>
  <si>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</si>
  <si>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</si>
  <si>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</si>
  <si>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</si>
  <si>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</si>
  <si>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</si>
  <si>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</si>
  <si>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</si>
  <si>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</si>
  <si>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</si>
  <si>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</si>
  <si>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</si>
  <si>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</si>
  <si>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</si>
  <si>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</si>
  <si>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</si>
  <si>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</si>
  <si>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</si>
  <si>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</si>
  <si>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</si>
  <si>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</si>
  <si>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</si>
  <si>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</si>
  <si>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</si>
  <si>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</si>
  <si>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</si>
  <si>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</si>
  <si>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</si>
  <si>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</si>
  <si>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</si>
  <si>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</si>
  <si>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</si>
  <si>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</si>
  <si>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</si>
  <si>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</si>
  <si>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</si>
  <si>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</si>
  <si>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</si>
  <si>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</si>
  <si>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</si>
  <si>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</si>
  <si>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</si>
  <si>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</si>
  <si>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</si>
  <si>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</si>
  <si>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</si>
  <si>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</si>
  <si>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</si>
  <si>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</si>
  <si>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</si>
  <si>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</si>
  <si>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</si>
  <si>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</si>
  <si>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</si>
  <si>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</si>
  <si>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</si>
  <si>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</si>
  <si>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</si>
  <si>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</si>
  <si>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</si>
  <si>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</si>
  <si>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</si>
  <si>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</si>
  <si>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</si>
  <si>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</si>
  <si>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</si>
  <si>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</si>
  <si>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</si>
  <si>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</si>
  <si>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</si>
  <si>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</si>
  <si>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</si>
  <si>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</si>
  <si>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</si>
  <si>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</si>
  <si>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</si>
  <si>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</si>
  <si>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</si>
  <si>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</si>
  <si>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</si>
  <si>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</si>
  <si>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</si>
  <si>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</si>
  <si>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</si>
  <si>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</si>
  <si>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</si>
  <si>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</si>
  <si>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</si>
  <si>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</si>
  <si>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</si>
  <si>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</si>
  <si>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</si>
  <si>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</si>
  <si>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</si>
  <si>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</si>
  <si>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</si>
  <si>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</si>
  <si>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</si>
  <si>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</si>
  <si>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</si>
  <si>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</si>
  <si>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</si>
  <si>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</si>
  <si>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</si>
  <si>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</si>
  <si>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</si>
  <si>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</si>
  <si>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</si>
  <si>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</si>
  <si>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</si>
  <si>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</si>
  <si>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</si>
  <si>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</si>
  <si>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</si>
  <si>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</si>
  <si>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</si>
  <si>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</si>
  <si>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</si>
  <si>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</si>
  <si>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</si>
  <si>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</si>
  <si>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</si>
  <si>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</si>
  <si>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</si>
  <si>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</si>
  <si>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</si>
  <si>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</si>
  <si>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</si>
  <si>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</si>
  <si>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</si>
  <si>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</si>
  <si>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</si>
  <si>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</si>
  <si>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</si>
  <si>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</si>
  <si>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</si>
  <si>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</si>
  <si>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</si>
  <si>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</si>
  <si>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</si>
  <si>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</si>
  <si>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</si>
  <si>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</si>
  <si>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</si>
  <si>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</si>
  <si>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</si>
  <si>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</si>
  <si>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</si>
  <si>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</si>
  <si>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</si>
  <si>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</si>
  <si>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</si>
  <si>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</si>
  <si>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</si>
  <si>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</si>
  <si>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</si>
  <si>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</si>
  <si>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</si>
  <si>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</si>
  <si>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</si>
  <si>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</si>
  <si>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</si>
  <si>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</si>
  <si>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</si>
  <si>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</si>
  <si>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</si>
  <si>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</si>
  <si>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</si>
  <si>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</si>
  <si>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</si>
  <si>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</si>
  <si>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</si>
  <si>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</si>
  <si>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</si>
  <si>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</si>
  <si>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</si>
  <si>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</si>
  <si>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</si>
  <si>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</si>
  <si>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</si>
  <si>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</si>
  <si>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</si>
  <si>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</si>
  <si>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</si>
  <si>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</si>
  <si>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</si>
  <si>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</si>
  <si>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</si>
  <si>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</si>
  <si>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</si>
  <si>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</si>
  <si>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</si>
  <si>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</si>
  <si>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</si>
  <si>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</si>
  <si>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</si>
  <si>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</si>
  <si>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</si>
  <si>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</si>
  <si>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</si>
  <si>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</si>
  <si>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</si>
  <si>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</si>
  <si>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</si>
  <si>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</si>
  <si>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</si>
  <si>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</si>
  <si>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</si>
  <si>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</si>
  <si>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</si>
  <si>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</si>
  <si>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</si>
  <si>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</si>
  <si>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</si>
  <si>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</si>
  <si>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</si>
  <si>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</si>
  <si>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</si>
  <si>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</si>
  <si>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</si>
  <si>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</si>
  <si>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</si>
  <si>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</si>
  <si>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</si>
  <si>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</si>
  <si>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</si>
  <si>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</si>
  <si>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</si>
  <si>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</si>
  <si>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</si>
  <si>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</si>
  <si>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</si>
  <si>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</si>
  <si>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</si>
  <si>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</si>
  <si>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</si>
  <si>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</si>
  <si>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</si>
  <si>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</si>
  <si>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</si>
  <si>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</si>
  <si>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</si>
  <si>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</si>
  <si>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</si>
  <si>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</si>
  <si>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</si>
  <si>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</si>
  <si>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</si>
  <si>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</si>
  <si>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</si>
  <si>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</si>
  <si>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</si>
  <si>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</si>
  <si>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</si>
  <si>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</si>
  <si>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</si>
  <si>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</si>
  <si>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</si>
  <si>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</si>
  <si>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</si>
  <si>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</si>
  <si>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</si>
  <si>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</si>
  <si>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</si>
  <si>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</si>
  <si>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</si>
  <si>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</si>
  <si>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</si>
  <si>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</si>
  <si>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</si>
  <si>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</si>
  <si>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</si>
  <si>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</si>
  <si>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</si>
  <si>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</si>
  <si>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</si>
  <si>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</si>
  <si>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</si>
  <si>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</si>
  <si>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</si>
  <si>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</si>
  <si>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</si>
  <si>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</si>
  <si>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</si>
  <si>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</si>
  <si>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</si>
  <si>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</si>
  <si>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</si>
  <si>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</si>
  <si>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</si>
  <si>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</si>
  <si>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</si>
  <si>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</si>
  <si>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</si>
  <si>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</si>
  <si>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</si>
  <si>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</si>
  <si>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</si>
  <si>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</si>
  <si>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</si>
  <si>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</si>
  <si>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</si>
  <si>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</si>
  <si>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</si>
  <si>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</si>
  <si>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</si>
  <si>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</si>
  <si>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</si>
  <si>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</si>
  <si>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</si>
  <si>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</si>
  <si>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</si>
  <si>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</si>
  <si>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</si>
  <si>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</si>
  <si>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</si>
  <si>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</si>
  <si>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</si>
  <si>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</si>
  <si>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</si>
  <si>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</si>
  <si>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</si>
  <si>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</si>
  <si>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</si>
  <si>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</si>
  <si>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</si>
  <si>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</si>
  <si>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</si>
  <si>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</si>
  <si>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</si>
  <si>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</si>
  <si>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</si>
  <si>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</si>
  <si>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</si>
  <si>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</si>
  <si>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</si>
  <si>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</si>
  <si>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</si>
  <si>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</si>
  <si>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</si>
  <si>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</si>
  <si>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</si>
  <si>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</si>
  <si>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</si>
  <si>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</si>
  <si>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</si>
  <si>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</si>
  <si>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</si>
  <si>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</si>
  <si>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</si>
  <si>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</si>
  <si>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</si>
  <si>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</si>
  <si>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</si>
  <si>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</si>
  <si>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</si>
  <si>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</si>
  <si>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</si>
  <si>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</si>
  <si>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</si>
  <si>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</si>
  <si>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</si>
  <si>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</si>
  <si>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</si>
  <si>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</si>
  <si>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</si>
  <si>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</si>
  <si>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</si>
  <si>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</si>
  <si>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</si>
  <si>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</si>
  <si>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</si>
  <si>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</si>
  <si>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</si>
  <si>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</si>
  <si>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</si>
  <si>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</si>
  <si>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</si>
  <si>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</si>
  <si>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</si>
  <si>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</si>
  <si>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</si>
  <si>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</si>
  <si>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</si>
  <si>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</si>
  <si>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</si>
  <si>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</si>
  <si>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</si>
  <si>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</si>
  <si>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</si>
  <si>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</si>
  <si>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</si>
  <si>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</si>
  <si>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</si>
  <si>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</si>
  <si>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</si>
  <si>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</si>
  <si>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</si>
  <si>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</si>
  <si>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</si>
  <si>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</si>
  <si>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</si>
  <si>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</si>
  <si>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</si>
  <si>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</si>
  <si>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</si>
  <si>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</si>
  <si>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</si>
  <si>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</si>
  <si>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</si>
  <si>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</si>
  <si>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</si>
  <si>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</si>
  <si>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</si>
  <si>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</si>
  <si>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</si>
  <si>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</si>
  <si>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</si>
  <si>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</si>
  <si>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</si>
  <si>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</si>
  <si>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</si>
  <si>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</si>
  <si>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</si>
  <si>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</si>
  <si>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</si>
  <si>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</si>
  <si>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</si>
  <si>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</si>
  <si>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</si>
  <si>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</si>
  <si>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</si>
  <si>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</si>
  <si>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</si>
  <si>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</si>
  <si>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</si>
  <si>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</si>
  <si>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</si>
  <si>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</si>
  <si>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</si>
  <si>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</si>
  <si>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</si>
  <si>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</si>
  <si>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</si>
  <si>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</si>
  <si>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</si>
  <si>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</si>
  <si>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</si>
  <si>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</si>
  <si>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</si>
  <si>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</si>
  <si>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</si>
  <si>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</si>
  <si>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</si>
  <si>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</si>
  <si>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</si>
  <si>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</si>
  <si>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</si>
  <si>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</si>
  <si>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</si>
  <si>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</si>
  <si>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</si>
  <si>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</si>
  <si>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</si>
  <si>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</si>
  <si>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</si>
  <si>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</si>
  <si>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</si>
  <si>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</si>
  <si>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</si>
  <si>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</si>
  <si>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</si>
  <si>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</si>
  <si>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</si>
  <si>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</si>
  <si>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</si>
  <si>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</si>
  <si>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</si>
  <si>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</si>
  <si>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</si>
  <si>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</si>
  <si>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</si>
  <si>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</si>
  <si>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</si>
  <si>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</si>
  <si>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</si>
  <si>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</si>
  <si>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</si>
  <si>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</si>
  <si>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</si>
  <si>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</si>
  <si>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</si>
  <si>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</si>
  <si>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</si>
  <si>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</si>
  <si>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</si>
  <si>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</si>
  <si>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</si>
  <si>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</si>
  <si>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</si>
  <si>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</si>
  <si>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</si>
  <si>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</si>
  <si>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</si>
  <si>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</si>
  <si>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</si>
  <si>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</si>
  <si>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</si>
  <si>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</si>
  <si>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</si>
  <si>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</si>
  <si>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</si>
  <si>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</si>
  <si>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</si>
  <si>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</si>
  <si>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</si>
  <si>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</si>
  <si>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</si>
  <si>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</si>
  <si>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</si>
  <si>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</si>
  <si>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</si>
  <si>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</si>
  <si>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</si>
  <si>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</si>
  <si>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</si>
  <si>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</si>
  <si>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</si>
  <si>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</si>
  <si>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</si>
  <si>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</si>
  <si>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</si>
  <si>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</si>
  <si>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</si>
  <si>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</si>
  <si>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</si>
  <si>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</si>
  <si>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</si>
  <si>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</si>
  <si>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</si>
  <si>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</si>
  <si>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</si>
  <si>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</si>
  <si>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</si>
  <si>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</si>
  <si>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</si>
  <si>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</si>
  <si>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</si>
  <si>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</si>
  <si>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</si>
  <si>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</si>
  <si>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</si>
  <si>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</si>
  <si>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</si>
  <si>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</si>
  <si>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</si>
  <si>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</si>
  <si>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</si>
  <si>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</si>
  <si>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</si>
  <si>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</si>
  <si>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</si>
  <si>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</si>
  <si>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</si>
  <si>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</si>
  <si>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</si>
  <si>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</si>
  <si>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</si>
  <si>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</si>
  <si>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</si>
  <si>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</si>
  <si>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</si>
  <si>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</si>
  <si>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</si>
  <si>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</si>
  <si>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</si>
  <si>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</si>
  <si>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</si>
  <si>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</si>
  <si>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</si>
  <si>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</si>
  <si>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</si>
  <si>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</si>
  <si>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</si>
  <si>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</si>
  <si>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</si>
  <si>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</si>
  <si>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</si>
  <si>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</si>
  <si>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</si>
  <si>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</si>
  <si>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</si>
  <si>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</si>
  <si>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</si>
  <si>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</si>
  <si>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</si>
  <si>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</si>
  <si>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</si>
  <si>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</si>
  <si>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</si>
  <si>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</si>
  <si>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</si>
  <si>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</si>
  <si>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</si>
  <si>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</si>
  <si>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</si>
  <si>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</si>
  <si>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</si>
  <si>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</si>
  <si>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</si>
  <si>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</si>
  <si>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</si>
  <si>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</si>
  <si>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</si>
  <si>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</si>
  <si>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</si>
  <si>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</si>
  <si>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</si>
  <si>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</si>
  <si>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</si>
  <si>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</si>
  <si>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</si>
  <si>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</si>
  <si>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</si>
  <si>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</si>
  <si>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</si>
  <si>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</si>
  <si>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</si>
  <si>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</si>
  <si>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</si>
  <si>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</si>
  <si>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</si>
  <si>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</si>
  <si>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</si>
  <si>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</si>
  <si>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</si>
  <si>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</si>
  <si>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</si>
  <si>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</si>
  <si>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</si>
  <si>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</si>
  <si>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</si>
  <si>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</si>
  <si>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</si>
  <si>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</si>
  <si>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</si>
  <si>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</si>
  <si>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</si>
  <si>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</si>
  <si>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</si>
  <si>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</si>
  <si>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</si>
  <si>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</si>
  <si>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</si>
  <si>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</si>
  <si>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</si>
  <si>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</si>
  <si>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</si>
  <si>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</si>
  <si>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</si>
  <si>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</si>
  <si>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</si>
  <si>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</si>
  <si>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</si>
  <si>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</si>
  <si>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</si>
  <si>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</si>
  <si>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</si>
  <si>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</si>
  <si>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</si>
  <si>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</si>
  <si>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</si>
  <si>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</si>
  <si>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</si>
  <si>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</si>
  <si>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</si>
  <si>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</si>
  <si>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</si>
  <si>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</si>
  <si>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</si>
  <si>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</si>
  <si>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</si>
  <si>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</si>
  <si>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</si>
  <si>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</si>
  <si>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</si>
  <si>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</si>
  <si>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</si>
  <si>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</si>
  <si>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</si>
  <si>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</si>
  <si>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</si>
  <si>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</si>
  <si>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</si>
  <si>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</si>
  <si>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</si>
  <si>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</si>
  <si>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</si>
  <si>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</si>
  <si>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</si>
  <si>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</si>
  <si>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</si>
  <si>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</si>
  <si>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</si>
  <si>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</si>
  <si>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</si>
  <si>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</si>
  <si>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</si>
  <si>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</si>
  <si>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</si>
  <si>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</si>
  <si>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</si>
  <si>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</si>
  <si>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</si>
  <si>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</si>
  <si>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</si>
  <si>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</si>
  <si>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</si>
  <si>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</si>
  <si>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</si>
  <si>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</si>
  <si>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</si>
  <si>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</si>
  <si>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</si>
  <si>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</si>
  <si>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</si>
  <si>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</si>
  <si>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</si>
  <si>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</si>
  <si>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</si>
  <si>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</si>
  <si>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</si>
  <si>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</si>
  <si>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</si>
  <si>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</si>
  <si>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</si>
  <si>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</si>
  <si>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</si>
  <si>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</si>
  <si>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</si>
  <si>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</si>
  <si>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</si>
  <si>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</si>
  <si>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</si>
  <si>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</si>
  <si>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</si>
  <si>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</si>
  <si>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</si>
  <si>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</si>
  <si>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</si>
  <si>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</si>
  <si>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</si>
  <si>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</si>
  <si>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</si>
  <si>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</si>
  <si>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</si>
  <si>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</si>
  <si>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</si>
  <si>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</si>
  <si>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</si>
  <si>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</si>
  <si>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</si>
  <si>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</si>
  <si>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</si>
  <si>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</si>
  <si>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</si>
  <si>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</si>
  <si>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</si>
  <si>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</si>
  <si>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</si>
  <si>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</si>
  <si>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</si>
  <si>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</si>
  <si>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</si>
  <si>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</si>
  <si>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</si>
  <si>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</si>
  <si>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</si>
  <si>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</si>
  <si>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</si>
  <si>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</si>
  <si>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</si>
  <si>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</si>
  <si>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</si>
  <si>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</si>
  <si>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</si>
  <si>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</si>
  <si>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</si>
  <si>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</si>
  <si>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</si>
  <si>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</si>
  <si>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</si>
  <si>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</si>
  <si>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</si>
  <si>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</si>
  <si>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</si>
  <si>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</si>
  <si>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</si>
  <si>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</si>
  <si>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</si>
  <si>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</si>
  <si>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</si>
  <si>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</si>
  <si>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</si>
  <si>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</si>
  <si>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</si>
  <si>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</si>
  <si>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</si>
  <si>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</si>
  <si>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</si>
  <si>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</si>
  <si>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</si>
  <si>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</si>
  <si>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</si>
  <si>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</si>
  <si>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</si>
  <si>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</si>
  <si>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</si>
  <si>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</si>
  <si>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</si>
  <si>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</si>
  <si>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</si>
  <si>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</si>
  <si>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</si>
  <si>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</si>
  <si>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</si>
  <si>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</si>
  <si>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</si>
  <si>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</si>
  <si>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</si>
  <si>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</si>
  <si>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</si>
  <si>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</si>
  <si>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</si>
  <si>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</si>
  <si>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</si>
  <si>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</si>
  <si>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</si>
  <si>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</si>
  <si>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</si>
  <si>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</si>
  <si>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</si>
  <si>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</si>
  <si>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</si>
  <si>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</si>
  <si>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</si>
  <si>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</si>
  <si>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</si>
  <si>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</si>
  <si>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</si>
  <si>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</si>
  <si>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</si>
  <si>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</si>
  <si>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</si>
  <si>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</si>
  <si>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</si>
  <si>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</si>
  <si>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</si>
  <si>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</si>
  <si>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</si>
  <si>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</si>
  <si>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</si>
  <si>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</si>
  <si>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</si>
  <si>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</si>
  <si>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</si>
  <si>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</si>
  <si>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</si>
  <si>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</si>
  <si>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</si>
  <si>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</si>
  <si>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</si>
  <si>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</si>
  <si>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</si>
  <si>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</si>
  <si>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</si>
  <si>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</si>
  <si>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</si>
  <si>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</si>
  <si>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</si>
  <si>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</si>
  <si>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</si>
  <si>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</si>
  <si>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</si>
  <si>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</si>
  <si>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</si>
  <si>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</si>
  <si>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</si>
  <si>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</si>
  <si>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</si>
  <si>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</si>
  <si>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</si>
  <si>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</si>
  <si>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</si>
  <si>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</si>
  <si>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</si>
  <si>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</si>
  <si>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</si>
  <si>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</si>
  <si>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</si>
  <si>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</si>
  <si>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</si>
  <si>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</si>
  <si>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</si>
  <si>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</si>
  <si>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</si>
  <si>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</si>
  <si>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</si>
  <si>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</si>
  <si>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</si>
  <si>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</si>
  <si>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</si>
  <si>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</si>
  <si>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</si>
  <si>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</si>
  <si>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</si>
  <si>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</si>
  <si>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</si>
  <si>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</si>
  <si>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</si>
  <si>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</si>
  <si>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</si>
  <si>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</si>
  <si>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</si>
  <si>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</si>
  <si>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</si>
  <si>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</si>
  <si>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</si>
  <si>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</si>
  <si>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</si>
  <si>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</si>
  <si>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</si>
  <si>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</si>
  <si>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</si>
  <si>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</si>
  <si>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</si>
  <si>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</si>
  <si>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</si>
  <si>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</si>
  <si>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</si>
  <si>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</si>
  <si>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</si>
  <si>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</si>
  <si>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</si>
  <si>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</si>
  <si>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</si>
  <si>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</si>
  <si>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</si>
  <si>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</si>
  <si>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</si>
  <si>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</si>
  <si>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</si>
  <si>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</si>
  <si>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</si>
  <si>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</si>
  <si>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</si>
  <si>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</si>
  <si>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</si>
  <si>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</si>
  <si>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</si>
  <si>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</si>
  <si>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</si>
  <si>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</si>
  <si>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</si>
  <si>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</si>
  <si>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</si>
  <si>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</si>
  <si>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</si>
  <si>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</si>
  <si>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</si>
  <si>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</si>
  <si>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</si>
  <si>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</si>
  <si>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</si>
  <si>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</si>
  <si>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</si>
  <si>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</si>
  <si>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</si>
  <si>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</si>
  <si>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</si>
  <si>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</si>
  <si>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</si>
  <si>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</si>
  <si>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</si>
  <si>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</si>
  <si>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</si>
  <si>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</si>
  <si>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</si>
  <si>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</si>
  <si>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</si>
  <si>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</si>
  <si>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</si>
  <si>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</si>
  <si>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</si>
  <si>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</si>
  <si>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</si>
  <si>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</si>
  <si>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</si>
  <si>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</si>
  <si>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</si>
  <si>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</si>
  <si>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</si>
  <si>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</si>
  <si>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</si>
  <si>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</si>
  <si>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</si>
  <si>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</si>
  <si>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</si>
  <si>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</si>
  <si>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</si>
  <si>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</si>
  <si>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</si>
  <si>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</si>
  <si>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</si>
  <si>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</si>
  <si>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</si>
  <si>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</si>
  <si>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</si>
  <si>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</si>
  <si>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</si>
  <si>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</si>
  <si>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</si>
  <si>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</si>
  <si>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</si>
  <si>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</si>
  <si>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</si>
  <si>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</si>
  <si>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</si>
  <si>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</si>
  <si>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</si>
  <si>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</si>
  <si>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</si>
  <si>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</si>
  <si>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</si>
  <si>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</si>
  <si>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</si>
  <si>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</si>
  <si>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</si>
  <si>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</si>
  <si>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</si>
  <si>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</si>
  <si>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</si>
  <si>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</si>
  <si>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</si>
  <si>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</si>
  <si>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</si>
  <si>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</si>
  <si>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</si>
  <si>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</si>
  <si>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</si>
  <si>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</si>
  <si>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</si>
  <si>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</si>
  <si>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</si>
  <si>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</si>
  <si>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</si>
  <si>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</si>
  <si>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</si>
  <si>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</si>
  <si>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</si>
  <si>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</si>
  <si>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</si>
  <si>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</si>
  <si>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</si>
  <si>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</si>
  <si>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</si>
  <si>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</si>
  <si>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</si>
  <si>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</si>
  <si>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</si>
  <si>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</si>
  <si>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</si>
  <si>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</si>
  <si>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</si>
  <si>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</si>
  <si>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</si>
  <si>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</si>
  <si>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</si>
  <si>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</si>
  <si>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</si>
  <si>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</si>
  <si>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</si>
  <si>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</si>
  <si>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</si>
  <si>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</si>
  <si>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</si>
  <si>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</si>
  <si>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</si>
  <si>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</si>
  <si>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</si>
  <si>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</si>
  <si>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</si>
  <si>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</si>
  <si>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</si>
  <si>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</si>
  <si>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</si>
  <si>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</si>
  <si>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</si>
  <si>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</si>
  <si>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</si>
  <si>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</si>
  <si>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</si>
  <si>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</si>
  <si>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</si>
  <si>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</si>
  <si>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</si>
  <si>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</si>
  <si>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</si>
  <si>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</si>
  <si>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</si>
  <si>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</si>
  <si>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</si>
  <si>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</si>
  <si>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</si>
  <si>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</si>
  <si>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</si>
  <si>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</si>
  <si>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</si>
  <si>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</si>
  <si>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</si>
  <si>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</si>
  <si>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</si>
  <si>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</si>
  <si>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</si>
  <si>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</si>
  <si>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</si>
  <si>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</si>
  <si>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</si>
  <si>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</si>
  <si>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</si>
  <si>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</si>
  <si>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</si>
  <si>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</si>
  <si>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</si>
  <si>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</si>
  <si>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</si>
  <si>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</si>
  <si>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</si>
  <si>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</si>
  <si>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</si>
  <si>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</si>
  <si>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</si>
  <si>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</si>
  <si>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</si>
  <si>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</si>
  <si>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</si>
  <si>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</si>
  <si>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</si>
  <si>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</si>
  <si>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</si>
  <si>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</si>
  <si>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</si>
  <si>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</si>
  <si>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</si>
  <si>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</si>
  <si>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</si>
  <si>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</si>
  <si>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</si>
  <si>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</si>
  <si>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</si>
  <si>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</si>
  <si>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</si>
  <si>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</si>
  <si>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</si>
  <si>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</si>
  <si>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</si>
  <si>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</si>
  <si>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</si>
  <si>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</si>
  <si>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</si>
  <si>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</si>
  <si>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</si>
  <si>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</si>
  <si>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</si>
  <si>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</si>
  <si>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</si>
  <si>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</si>
  <si>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</si>
  <si>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</si>
  <si>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</si>
  <si>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</si>
  <si>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</si>
  <si>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</si>
  <si>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</si>
  <si>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</si>
  <si>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</si>
  <si>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</si>
  <si>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</si>
  <si>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</si>
  <si>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</si>
  <si>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</si>
  <si>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</si>
  <si>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</si>
  <si>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</si>
  <si>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</si>
  <si>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</si>
  <si>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</si>
  <si>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</si>
  <si>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</si>
  <si>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</si>
  <si>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</si>
  <si>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</si>
  <si>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</si>
  <si>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</si>
  <si>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</si>
  <si>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</si>
  <si>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</si>
  <si>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</si>
  <si>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</si>
  <si>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</si>
  <si>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</si>
  <si>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</si>
  <si>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</si>
  <si>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</si>
  <si>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</si>
  <si>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</si>
  <si>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</si>
  <si>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</si>
  <si>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</si>
  <si>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</si>
  <si>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</si>
  <si>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</si>
  <si>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</si>
  <si>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</si>
  <si>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</si>
  <si>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</si>
  <si>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</si>
  <si>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</si>
  <si>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</si>
  <si>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</si>
  <si>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</si>
  <si>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</si>
  <si>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</si>
  <si>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</si>
  <si>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</si>
  <si>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</si>
  <si>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</si>
  <si>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</si>
  <si>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</si>
  <si>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</si>
  <si>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</si>
  <si>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</si>
  <si>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</si>
  <si>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</si>
  <si>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</si>
  <si>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</si>
  <si>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</si>
  <si>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</si>
  <si>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</si>
  <si>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</si>
  <si>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</si>
  <si>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</si>
  <si>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</si>
  <si>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</si>
  <si>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</si>
  <si>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</si>
  <si>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</si>
  <si>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</si>
  <si>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</si>
  <si>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</si>
  <si>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</si>
  <si>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</si>
  <si>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</si>
  <si>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</si>
  <si>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</si>
  <si>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</si>
  <si>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</si>
  <si>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</si>
  <si>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</si>
  <si>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</si>
  <si>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</si>
  <si>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</si>
  <si>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</si>
  <si>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</si>
  <si>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</si>
  <si>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</si>
  <si>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</si>
  <si>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</si>
  <si>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</si>
  <si>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</si>
  <si>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</si>
  <si>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</si>
  <si>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</si>
  <si>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</si>
  <si>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</si>
  <si>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</si>
  <si>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</si>
  <si>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</si>
  <si>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</si>
  <si>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</si>
  <si>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</si>
  <si>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</si>
  <si>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</si>
  <si>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</si>
  <si>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</si>
  <si>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</si>
  <si>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</si>
  <si>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</si>
  <si>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</si>
  <si>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</si>
  <si>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</si>
  <si>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</si>
  <si>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</si>
  <si>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</si>
  <si>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</si>
  <si>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</si>
  <si>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</si>
  <si>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</si>
  <si>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</si>
  <si>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</si>
  <si>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</si>
  <si>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</si>
  <si>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</si>
  <si>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</si>
  <si>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</si>
  <si>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</si>
  <si>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</si>
  <si>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</si>
  <si>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</si>
  <si>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</si>
  <si>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</si>
  <si>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</si>
  <si>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</si>
  <si>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</si>
  <si>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</si>
  <si>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</si>
  <si>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</si>
  <si>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</si>
  <si>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</si>
  <si>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</si>
  <si>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</si>
  <si>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</si>
  <si>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</si>
  <si>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</si>
  <si>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</si>
  <si>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</si>
  <si>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</si>
  <si>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</si>
  <si>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</si>
  <si>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</si>
  <si>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</si>
  <si>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</si>
  <si>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</si>
  <si>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</si>
  <si>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</si>
  <si>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</si>
  <si>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</si>
  <si>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</si>
  <si>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</si>
  <si>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</si>
  <si>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</si>
  <si>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</si>
  <si>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</si>
  <si>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</si>
  <si>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</si>
  <si>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</si>
  <si>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</si>
  <si>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</si>
  <si>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</si>
  <si>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</si>
  <si>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</si>
  <si>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</si>
  <si>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</si>
  <si>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</si>
  <si>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</si>
  <si>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</si>
  <si>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</si>
  <si>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</si>
  <si>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</si>
  <si>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</si>
  <si>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</si>
  <si>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</si>
  <si>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</si>
  <si>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</si>
  <si>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</si>
  <si>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</si>
  <si>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</si>
  <si>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</si>
  <si>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</si>
  <si>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</si>
  <si>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</si>
  <si>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</si>
  <si>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</si>
  <si>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</si>
  <si>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</si>
  <si>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</si>
  <si>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</si>
  <si>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</si>
  <si>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</si>
  <si>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</si>
  <si>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</si>
  <si>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</si>
  <si>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</si>
  <si>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</si>
  <si>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</si>
  <si>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</si>
  <si>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</si>
  <si>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</si>
  <si>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</si>
  <si>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</si>
  <si>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</si>
  <si>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</si>
  <si>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</si>
  <si>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</si>
  <si>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</si>
  <si>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</si>
  <si>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</si>
  <si>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</si>
  <si>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</si>
  <si>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</si>
  <si>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</si>
  <si>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</si>
  <si>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</si>
  <si>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</si>
  <si>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</si>
  <si>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</si>
  <si>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</si>
  <si>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</si>
  <si>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</si>
  <si>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</si>
  <si>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</si>
  <si>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</si>
  <si>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</si>
  <si>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</si>
  <si>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</si>
  <si>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</si>
  <si>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</si>
  <si>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</si>
  <si>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</si>
  <si>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</si>
  <si>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</si>
  <si>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</si>
  <si>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</si>
  <si>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</si>
  <si>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</si>
  <si>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</si>
  <si>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</si>
  <si>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</si>
  <si>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</si>
  <si>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</si>
  <si>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</si>
  <si>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</si>
  <si>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</si>
  <si>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</si>
  <si>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</si>
  <si>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</si>
  <si>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</si>
  <si>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</si>
  <si>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</si>
  <si>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</si>
  <si>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</si>
  <si>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</si>
  <si>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</si>
  <si>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</si>
  <si>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</si>
  <si>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</si>
  <si>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</si>
  <si>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</si>
  <si>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</si>
  <si>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</si>
  <si>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</si>
  <si>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</si>
  <si>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</si>
  <si>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</si>
  <si>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</si>
  <si>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</si>
  <si>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</si>
  <si>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</si>
  <si>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</si>
  <si>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</si>
  <si>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</si>
  <si>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</si>
  <si>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</si>
  <si>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</si>
  <si>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</si>
  <si>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</si>
  <si>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</si>
  <si>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</si>
  <si>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</si>
  <si>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</si>
  <si>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</si>
  <si>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</si>
  <si>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</si>
  <si>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</si>
  <si>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</si>
  <si>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</si>
  <si>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</si>
  <si>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</si>
  <si>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</si>
  <si>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</si>
  <si>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</si>
  <si>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</si>
  <si>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</si>
  <si>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</si>
  <si>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</si>
  <si>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</si>
  <si>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</si>
  <si>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</si>
  <si>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</si>
  <si>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</si>
  <si>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</si>
  <si>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</si>
  <si>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</si>
  <si>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</si>
  <si>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</si>
  <si>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</si>
  <si>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</si>
  <si>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</si>
  <si>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</si>
  <si>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</si>
  <si>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</si>
  <si>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</si>
  <si>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</si>
  <si>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</si>
  <si>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</si>
  <si>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</si>
  <si>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</si>
  <si>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</si>
  <si>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</si>
  <si>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</si>
  <si>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</si>
  <si>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</si>
  <si>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</si>
  <si>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</si>
  <si>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</si>
  <si>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</si>
  <si>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</si>
  <si>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</si>
  <si>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</si>
  <si>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</si>
  <si>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</si>
  <si>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</si>
  <si>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</si>
  <si>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</si>
  <si>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</si>
  <si>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</si>
  <si>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</si>
  <si>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</si>
  <si>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</si>
  <si>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</si>
  <si>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</si>
  <si>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</si>
  <si>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</si>
  <si>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</si>
  <si>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</si>
  <si>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</si>
  <si>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</si>
  <si>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</si>
  <si>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</si>
  <si>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</si>
  <si>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</si>
  <si>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</si>
  <si>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</si>
  <si>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</si>
  <si>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</si>
  <si>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</si>
  <si>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</si>
  <si>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</si>
  <si>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</si>
  <si>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</si>
  <si>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</si>
  <si>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</si>
  <si>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</si>
  <si>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</si>
  <si>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1" type="noConversion"/>
  </si>
  <si>
    <t>Longitude:</t>
    <phoneticPr fontId="1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</si>
  <si>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</si>
  <si>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</si>
  <si>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</si>
  <si>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</si>
  <si>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</si>
  <si>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</si>
  <si>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</si>
  <si>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</si>
  <si>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</si>
  <si>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</si>
  <si>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</si>
  <si>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</si>
  <si>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</si>
  <si>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</si>
  <si>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</si>
  <si>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</si>
  <si>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</si>
  <si>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</si>
  <si>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</si>
  <si>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</si>
  <si>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</si>
  <si>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</si>
  <si>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</si>
  <si>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</si>
  <si>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</si>
  <si>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</si>
  <si>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</si>
  <si>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</si>
  <si>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</si>
  <si>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</si>
  <si>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</si>
  <si>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</si>
  <si>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</si>
  <si>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</si>
  <si>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</si>
  <si>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</si>
  <si>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</si>
  <si>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</si>
  <si>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</si>
  <si>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</si>
  <si>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</si>
  <si>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</si>
  <si>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</si>
  <si>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</si>
  <si>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</si>
  <si>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</si>
  <si>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</si>
  <si>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</si>
  <si>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Geum sp.</t>
  </si>
  <si>
    <t>D3i, D1-2r</t>
  </si>
  <si>
    <t>Exotic Lonicera spp.</t>
  </si>
  <si>
    <t>G1-3i</t>
  </si>
  <si>
    <t>H1-3p</t>
  </si>
  <si>
    <t>Prairie violet sp.</t>
  </si>
  <si>
    <t>WWIMR2022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</si>
</sst>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4" fillId="0" borderId="0"/>
    <xf numFmtId="0" fontId="19" fillId="0" borderId="0" applyNumberFormat="0" applyFill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19" applyNumberFormat="0" applyAlignment="0" applyProtection="0"/>
    <xf numFmtId="0" fontId="27" fillId="6" borderId="20" applyNumberFormat="0" applyAlignment="0" applyProtection="0"/>
    <xf numFmtId="0" fontId="28" fillId="6" borderId="19" applyNumberFormat="0" applyAlignment="0" applyProtection="0"/>
    <xf numFmtId="0" fontId="29" fillId="0" borderId="21" applyNumberFormat="0" applyFill="0" applyAlignment="0" applyProtection="0"/>
    <xf numFmtId="0" fontId="30" fillId="7" borderId="2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4" applyNumberFormat="0" applyFill="0" applyAlignment="0" applyProtection="0"/>
    <xf numFmtId="0" fontId="34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1" borderId="0" applyNumberFormat="0" applyBorder="0" applyAlignment="0" applyProtection="0"/>
    <xf numFmtId="0" fontId="34" fillId="32" borderId="0" applyNumberFormat="0" applyBorder="0" applyAlignment="0" applyProtection="0"/>
    <xf numFmtId="0" fontId="36" fillId="0" borderId="0"/>
    <xf numFmtId="0" fontId="14" fillId="0" borderId="0"/>
    <xf numFmtId="0" fontId="8" fillId="0" borderId="0"/>
    <xf numFmtId="0" fontId="8" fillId="8" borderId="23" applyNumberFormat="0" applyFont="0" applyAlignment="0" applyProtection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41" fillId="0" borderId="0"/>
    <xf numFmtId="0" fontId="7" fillId="0" borderId="0"/>
    <xf numFmtId="0" fontId="7" fillId="8" borderId="23" applyNumberFormat="0" applyFont="0" applyAlignment="0" applyProtection="0"/>
    <xf numFmtId="0" fontId="14" fillId="0" borderId="0"/>
  </cellStyleXfs>
  <cellXfs count="154">
    <xf numFmtId="0" fontId="0" fillId="0" borderId="0" xfId="0"/>
    <xf numFmtId="0" fontId="9" fillId="0" borderId="0" xfId="0" applyFont="1"/>
    <xf numFmtId="0" fontId="1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4" fillId="0" borderId="0" xfId="0" applyFont="1"/>
    <xf numFmtId="0" fontId="14" fillId="0" borderId="0" xfId="1"/>
    <xf numFmtId="0" fontId="13" fillId="0" borderId="0" xfId="1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0" fillId="0" borderId="0" xfId="0" applyFont="1" applyFill="1" applyBorder="1" applyAlignment="1">
      <alignment horizontal="center"/>
    </xf>
    <xf numFmtId="14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0" fontId="14" fillId="0" borderId="0" xfId="0" applyFont="1" applyAlignment="1"/>
    <xf numFmtId="0" fontId="0" fillId="0" borderId="0" xfId="0" applyBorder="1"/>
    <xf numFmtId="0" fontId="9" fillId="0" borderId="15" xfId="0" applyFont="1" applyBorder="1"/>
    <xf numFmtId="0" fontId="0" fillId="0" borderId="0" xfId="0"/>
    <xf numFmtId="0" fontId="0" fillId="0" borderId="0" xfId="0"/>
    <xf numFmtId="0" fontId="35" fillId="0" borderId="25" xfId="0" applyFont="1" applyBorder="1"/>
    <xf numFmtId="0" fontId="35" fillId="0" borderId="25" xfId="0" applyFont="1" applyFill="1" applyBorder="1"/>
    <xf numFmtId="0" fontId="35" fillId="0" borderId="25" xfId="0" applyNumberFormat="1" applyFont="1" applyBorder="1"/>
    <xf numFmtId="0" fontId="36" fillId="0" borderId="0" xfId="0" applyFont="1" applyFill="1"/>
    <xf numFmtId="0" fontId="0" fillId="0" borderId="0" xfId="0" quotePrefix="1" applyNumberFormat="1"/>
    <xf numFmtId="0" fontId="36" fillId="0" borderId="0" xfId="0" quotePrefix="1" applyNumberFormat="1" applyFont="1"/>
    <xf numFmtId="0" fontId="0" fillId="0" borderId="0" xfId="0" applyNumberFormat="1"/>
    <xf numFmtId="0" fontId="36" fillId="0" borderId="0" xfId="0" applyFont="1"/>
    <xf numFmtId="0" fontId="36" fillId="0" borderId="0" xfId="0" quotePrefix="1" applyNumberFormat="1" applyFont="1" applyFill="1"/>
    <xf numFmtId="0" fontId="37" fillId="0" borderId="0" xfId="0" applyFont="1"/>
    <xf numFmtId="0" fontId="9" fillId="0" borderId="15" xfId="1" applyFont="1" applyFill="1" applyBorder="1"/>
    <xf numFmtId="0" fontId="14" fillId="0" borderId="0" xfId="0" applyFont="1" applyAlignment="1">
      <alignment vertical="center"/>
    </xf>
    <xf numFmtId="0" fontId="0" fillId="0" borderId="15" xfId="0" applyBorder="1"/>
    <xf numFmtId="0" fontId="14" fillId="0" borderId="0" xfId="1"/>
    <xf numFmtId="0" fontId="14" fillId="0" borderId="0" xfId="1" applyFont="1"/>
    <xf numFmtId="0" fontId="9" fillId="0" borderId="0" xfId="1" applyFont="1"/>
    <xf numFmtId="0" fontId="9" fillId="0" borderId="15" xfId="1" applyFont="1" applyBorder="1"/>
    <xf numFmtId="0" fontId="14" fillId="0" borderId="0" xfId="1" applyBorder="1"/>
    <xf numFmtId="0" fontId="9" fillId="0" borderId="0" xfId="1" applyFont="1" applyFill="1"/>
    <xf numFmtId="0" fontId="39" fillId="0" borderId="26" xfId="0" applyFont="1" applyBorder="1"/>
    <xf numFmtId="0" fontId="39" fillId="0" borderId="25" xfId="0" applyFont="1" applyBorder="1"/>
    <xf numFmtId="0" fontId="39" fillId="0" borderId="27" xfId="0" applyFont="1" applyBorder="1"/>
    <xf numFmtId="0" fontId="38" fillId="0" borderId="28" xfId="0" applyFont="1" applyBorder="1" applyAlignment="1">
      <alignment horizontal="center"/>
    </xf>
    <xf numFmtId="0" fontId="40" fillId="0" borderId="28" xfId="0" applyFont="1" applyBorder="1" applyAlignment="1">
      <alignment horizontal="center"/>
    </xf>
    <xf numFmtId="0" fontId="3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7" fillId="0" borderId="0" xfId="46"/>
    <xf numFmtId="0" fontId="36" fillId="0" borderId="0" xfId="59" applyFont="1" applyFill="1"/>
    <xf numFmtId="0" fontId="14" fillId="0" borderId="15" xfId="0" applyFont="1" applyBorder="1" applyAlignment="1">
      <alignment vertical="center"/>
    </xf>
    <xf numFmtId="0" fontId="14" fillId="0" borderId="30" xfId="1" applyBorder="1"/>
    <xf numFmtId="0" fontId="14" fillId="0" borderId="15" xfId="1" applyFont="1" applyBorder="1"/>
    <xf numFmtId="0" fontId="14" fillId="0" borderId="0" xfId="0" applyFont="1"/>
    <xf numFmtId="0" fontId="9" fillId="0" borderId="0" xfId="0" applyFont="1"/>
    <xf numFmtId="0" fontId="0" fillId="0" borderId="0" xfId="0"/>
    <xf numFmtId="0" fontId="0" fillId="0" borderId="0" xfId="0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4" fillId="0" borderId="0" xfId="1" applyNumberFormat="1" applyFont="1"/>
    <xf numFmtId="0" fontId="14" fillId="0" borderId="0" xfId="1" applyBorder="1"/>
    <xf numFmtId="0" fontId="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9" fillId="0" borderId="0" xfId="1" applyFont="1" applyFill="1"/>
    <xf numFmtId="0" fontId="0" fillId="0" borderId="0" xfId="0"/>
    <xf numFmtId="0" fontId="9" fillId="0" borderId="0" xfId="1" applyFont="1"/>
    <xf numFmtId="0" fontId="0" fillId="0" borderId="0" xfId="0"/>
    <xf numFmtId="0" fontId="9" fillId="0" borderId="0" xfId="1" applyFont="1"/>
    <xf numFmtId="0" fontId="14" fillId="0" borderId="0" xfId="1" applyFont="1" applyFill="1"/>
    <xf numFmtId="0" fontId="14" fillId="34" borderId="0" xfId="1" applyFill="1" applyBorder="1"/>
    <xf numFmtId="0" fontId="14" fillId="34" borderId="0" xfId="0" applyFont="1" applyFill="1"/>
    <xf numFmtId="0" fontId="14" fillId="34" borderId="15" xfId="0" applyFont="1" applyFill="1" applyBorder="1"/>
    <xf numFmtId="0" fontId="0" fillId="0" borderId="0" xfId="0"/>
    <xf numFmtId="2" fontId="14" fillId="0" borderId="26" xfId="0" applyNumberFormat="1" applyFont="1" applyBorder="1"/>
    <xf numFmtId="2" fontId="14" fillId="0" borderId="32" xfId="0" applyNumberFormat="1" applyFont="1" applyBorder="1" applyAlignment="1">
      <alignment horizontal="center"/>
    </xf>
    <xf numFmtId="2" fontId="14" fillId="0" borderId="25" xfId="0" applyNumberFormat="1" applyFont="1" applyBorder="1"/>
    <xf numFmtId="2" fontId="14" fillId="0" borderId="27" xfId="0" applyNumberFormat="1" applyFont="1" applyBorder="1"/>
    <xf numFmtId="0" fontId="0" fillId="0" borderId="0" xfId="0"/>
    <xf numFmtId="0" fontId="14" fillId="35" borderId="0" xfId="0" applyFont="1" applyFill="1" applyAlignment="1">
      <alignment vertical="center"/>
    </xf>
    <xf numFmtId="0" fontId="14" fillId="35" borderId="0" xfId="1" applyFont="1" applyFill="1"/>
    <xf numFmtId="2" fontId="14" fillId="0" borderId="25" xfId="0" applyNumberFormat="1" applyFont="1" applyFill="1" applyBorder="1"/>
    <xf numFmtId="2" fontId="14" fillId="36" borderId="25" xfId="0" applyNumberFormat="1" applyFont="1" applyFill="1" applyBorder="1"/>
    <xf numFmtId="2" fontId="14" fillId="36" borderId="27" xfId="0" applyNumberFormat="1" applyFont="1" applyFill="1" applyBorder="1"/>
    <xf numFmtId="0" fontId="14" fillId="0" borderId="0" xfId="0" applyFont="1"/>
    <xf numFmtId="0" fontId="14" fillId="0" borderId="25" xfId="1" applyBorder="1"/>
    <xf numFmtId="0" fontId="1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6" fillId="0" borderId="0" xfId="46" applyFont="1"/>
    <xf numFmtId="0" fontId="0" fillId="0" borderId="0" xfId="0"/>
    <xf numFmtId="0" fontId="5" fillId="0" borderId="0" xfId="46" applyFont="1"/>
    <xf numFmtId="0" fontId="0" fillId="0" borderId="0" xfId="0"/>
    <xf numFmtId="0" fontId="43" fillId="0" borderId="33" xfId="0" applyFont="1" applyBorder="1" applyAlignment="1">
      <alignment wrapText="1"/>
    </xf>
    <xf numFmtId="0" fontId="4" fillId="0" borderId="0" xfId="46" applyFont="1"/>
    <xf numFmtId="0" fontId="0" fillId="0" borderId="0" xfId="0" quotePrefix="1" applyNumberFormat="1" applyFont="1"/>
    <xf numFmtId="0" fontId="3" fillId="0" borderId="0" xfId="46" applyFont="1"/>
    <xf numFmtId="0" fontId="0" fillId="0" borderId="0" xfId="0" applyFont="1"/>
    <xf numFmtId="0" fontId="0" fillId="0" borderId="0" xfId="0" applyNumberFormat="1" applyFont="1"/>
    <xf numFmtId="0" fontId="2" fillId="0" borderId="0" xfId="46" applyFont="1"/>
    <xf numFmtId="0" fontId="1" fillId="0" borderId="0" xfId="46" applyFont="1"/>
    <xf numFmtId="0" fontId="44" fillId="0" borderId="25" xfId="0" applyFont="1" applyBorder="1" applyAlignment="1">
      <alignment vertical="center"/>
    </xf>
    <xf numFmtId="0" fontId="44" fillId="0" borderId="25" xfId="0" applyFont="1" applyBorder="1" applyAlignment="1">
      <alignment horizontal="center" vertical="center"/>
    </xf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/>
    <xf numFmtId="0" fontId="9" fillId="0" borderId="10" xfId="0" applyFont="1" applyBorder="1" applyAlignment="1">
      <alignment horizontal="center"/>
    </xf>
    <xf numFmtId="0" fontId="9" fillId="0" borderId="0" xfId="1" applyFont="1" applyFill="1"/>
    <xf numFmtId="0" fontId="0" fillId="0" borderId="0" xfId="0"/>
    <xf numFmtId="0" fontId="9" fillId="0" borderId="0" xfId="1" applyFont="1"/>
    <xf numFmtId="0" fontId="13" fillId="0" borderId="0" xfId="1" applyFont="1"/>
    <xf numFmtId="0" fontId="16" fillId="0" borderId="0" xfId="1" applyFont="1" applyAlignment="1">
      <alignment horizontal="center"/>
    </xf>
    <xf numFmtId="0" fontId="14" fillId="0" borderId="0" xfId="1" applyFont="1" applyFill="1" applyBorder="1" applyAlignment="1">
      <alignment horizontal="center"/>
    </xf>
    <xf numFmtId="0" fontId="9" fillId="0" borderId="29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30" xfId="1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9" fillId="0" borderId="0" xfId="1" applyFont="1" applyBorder="1"/>
    <xf numFmtId="0" fontId="9" fillId="0" borderId="0" xfId="0" applyFont="1" applyBorder="1"/>
    <xf numFmtId="0" fontId="9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7" t="s">
        <v>57</v>
      </c>
      <c r="B2" s="137"/>
      <c r="C2" s="137"/>
      <c r="D2" s="137"/>
      <c r="E2" s="137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5380</v>
      </c>
      <c r="B12" s="65" t="s">
        <v>5381</v>
      </c>
      <c r="C12" s="65"/>
      <c r="D12" s="65"/>
      <c r="E12" s="65"/>
    </row>
    <row r="13" spans="1:5" x14ac:dyDescent="0.2">
      <c r="A13" s="69" t="s">
        <v>5382</v>
      </c>
      <c r="B13" s="65"/>
      <c r="C13" s="65"/>
      <c r="D13" s="65"/>
      <c r="E13" s="65"/>
    </row>
    <row r="14" spans="1:5" x14ac:dyDescent="0.2">
      <c r="A14" s="69" t="s">
        <v>5383</v>
      </c>
      <c r="B14" s="65"/>
      <c r="C14" s="65"/>
      <c r="D14" s="65"/>
      <c r="E14" s="65"/>
    </row>
    <row r="15" spans="1:5" x14ac:dyDescent="0.2">
      <c r="A15" s="69" t="s">
        <v>5384</v>
      </c>
      <c r="B15" s="28"/>
      <c r="C15" s="67"/>
      <c r="D15" s="28"/>
      <c r="E15" s="28"/>
    </row>
    <row r="16" spans="1:5" x14ac:dyDescent="0.2">
      <c r="A16" s="69" t="s">
        <v>5385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5386</v>
      </c>
      <c r="B18" s="65"/>
      <c r="C18" s="67"/>
      <c r="D18" s="65"/>
      <c r="E18" s="65"/>
    </row>
    <row r="19" spans="1:5" x14ac:dyDescent="0.2">
      <c r="A19" s="69" t="s">
        <v>5387</v>
      </c>
      <c r="B19" s="70"/>
      <c r="C19" s="65"/>
      <c r="D19" s="65"/>
      <c r="E19" s="65"/>
    </row>
    <row r="20" spans="1:5" x14ac:dyDescent="0.2">
      <c r="A20" s="25" t="s">
        <v>5388</v>
      </c>
      <c r="B20" s="65"/>
      <c r="C20" s="67"/>
      <c r="D20" s="65"/>
      <c r="E20" s="65"/>
    </row>
    <row r="21" spans="1:5" x14ac:dyDescent="0.2">
      <c r="A21" s="25" t="s">
        <v>5389</v>
      </c>
      <c r="B21" s="28"/>
      <c r="C21" s="28"/>
      <c r="D21" s="28"/>
      <c r="E21" s="28"/>
    </row>
    <row r="22" spans="1:5" x14ac:dyDescent="0.2">
      <c r="A22" s="139" t="s">
        <v>5390</v>
      </c>
      <c r="B22" s="139"/>
      <c r="C22" s="139"/>
      <c r="D22" s="139"/>
      <c r="E22" s="139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8" t="s">
        <v>5391</v>
      </c>
      <c r="B24" s="138"/>
      <c r="C24" s="138"/>
      <c r="D24" s="138"/>
      <c r="E24" s="138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5394</v>
      </c>
      <c r="B38" s="66"/>
      <c r="C38" s="65"/>
      <c r="D38" s="65"/>
      <c r="E38" s="65"/>
    </row>
    <row r="39" spans="1:5" ht="14.25" x14ac:dyDescent="0.2">
      <c r="A39" s="138" t="s">
        <v>61</v>
      </c>
      <c r="B39" s="138"/>
      <c r="C39" s="138"/>
      <c r="D39" s="138"/>
      <c r="E39" s="138"/>
    </row>
    <row r="40" spans="1:5" x14ac:dyDescent="0.2">
      <c r="A40" s="69" t="s">
        <v>5395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5396</v>
      </c>
      <c r="B44" s="70"/>
      <c r="C44" s="70"/>
      <c r="D44" s="70"/>
      <c r="E44" s="70"/>
    </row>
    <row r="45" spans="1:5" ht="12" customHeight="1" x14ac:dyDescent="0.2">
      <c r="A45" s="138" t="s">
        <v>62</v>
      </c>
      <c r="B45" s="138"/>
      <c r="C45" s="138"/>
      <c r="D45" s="138"/>
      <c r="E45" s="138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5399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5401</v>
      </c>
      <c r="B75" s="65" t="s">
        <v>5402</v>
      </c>
      <c r="C75" s="65"/>
      <c r="D75" s="65"/>
      <c r="E75" s="65"/>
    </row>
    <row r="76" spans="1:5" x14ac:dyDescent="0.2">
      <c r="A76" s="69" t="s">
        <v>5403</v>
      </c>
      <c r="B76" s="65" t="s">
        <v>5402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5404</v>
      </c>
      <c r="B79" s="65" t="s">
        <v>5405</v>
      </c>
      <c r="C79" s="65"/>
      <c r="D79" s="65"/>
      <c r="E79" s="65"/>
    </row>
    <row r="80" spans="1:5" x14ac:dyDescent="0.2">
      <c r="A80" s="69" t="s">
        <v>5406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33" t="s">
        <v>43</v>
      </c>
      <c r="B93" s="134"/>
      <c r="C93" s="136"/>
      <c r="D93" s="140" t="s">
        <v>44</v>
      </c>
      <c r="E93" s="135"/>
    </row>
    <row r="94" spans="1:5" x14ac:dyDescent="0.2">
      <c r="A94" s="73" t="s">
        <v>23</v>
      </c>
      <c r="B94" s="131" t="s">
        <v>30</v>
      </c>
      <c r="C94" s="132"/>
      <c r="D94" s="3" t="s">
        <v>46</v>
      </c>
      <c r="E94" s="9">
        <v>8</v>
      </c>
    </row>
    <row r="95" spans="1:5" x14ac:dyDescent="0.2">
      <c r="A95" s="73" t="s">
        <v>24</v>
      </c>
      <c r="B95" s="127" t="s">
        <v>31</v>
      </c>
      <c r="C95" s="128"/>
      <c r="D95" s="3" t="s">
        <v>47</v>
      </c>
      <c r="E95" s="9">
        <v>7</v>
      </c>
    </row>
    <row r="96" spans="1:5" x14ac:dyDescent="0.2">
      <c r="A96" s="73" t="s">
        <v>3</v>
      </c>
      <c r="B96" s="127" t="s">
        <v>32</v>
      </c>
      <c r="C96" s="128"/>
      <c r="D96" s="3" t="s">
        <v>48</v>
      </c>
      <c r="E96" s="9">
        <v>6</v>
      </c>
    </row>
    <row r="97" spans="1:5" x14ac:dyDescent="0.2">
      <c r="A97" s="73" t="s">
        <v>25</v>
      </c>
      <c r="B97" s="127" t="s">
        <v>33</v>
      </c>
      <c r="C97" s="128"/>
      <c r="D97" s="3" t="s">
        <v>49</v>
      </c>
      <c r="E97" s="9">
        <v>5</v>
      </c>
    </row>
    <row r="98" spans="1:5" x14ac:dyDescent="0.2">
      <c r="A98" s="73" t="s">
        <v>26</v>
      </c>
      <c r="B98" s="127" t="s">
        <v>34</v>
      </c>
      <c r="C98" s="128"/>
      <c r="D98" s="3" t="s">
        <v>50</v>
      </c>
      <c r="E98" s="9">
        <v>4</v>
      </c>
    </row>
    <row r="99" spans="1:5" x14ac:dyDescent="0.2">
      <c r="A99" s="73" t="s">
        <v>27</v>
      </c>
      <c r="B99" s="127" t="s">
        <v>35</v>
      </c>
      <c r="C99" s="128"/>
      <c r="D99" s="3" t="s">
        <v>4</v>
      </c>
      <c r="E99" s="9">
        <v>3</v>
      </c>
    </row>
    <row r="100" spans="1:5" x14ac:dyDescent="0.2">
      <c r="A100" s="73" t="s">
        <v>2</v>
      </c>
      <c r="B100" s="127" t="s">
        <v>36</v>
      </c>
      <c r="C100" s="128"/>
      <c r="D100" s="3" t="s">
        <v>5</v>
      </c>
      <c r="E100" s="9">
        <v>2</v>
      </c>
    </row>
    <row r="101" spans="1:5" x14ac:dyDescent="0.2">
      <c r="A101" s="73" t="s">
        <v>28</v>
      </c>
      <c r="B101" s="127" t="s">
        <v>37</v>
      </c>
      <c r="C101" s="128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29" t="s">
        <v>38</v>
      </c>
      <c r="C102" s="130"/>
      <c r="D102" s="5"/>
      <c r="E102" s="8"/>
    </row>
    <row r="103" spans="1:5" ht="13.5" thickBot="1" x14ac:dyDescent="0.25">
      <c r="A103" s="133" t="s">
        <v>68</v>
      </c>
      <c r="B103" s="134"/>
      <c r="C103" s="136"/>
      <c r="D103" s="140" t="s">
        <v>45</v>
      </c>
      <c r="E103" s="135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33" t="s">
        <v>21</v>
      </c>
      <c r="B112" s="134"/>
      <c r="C112" s="135"/>
    </row>
    <row r="113" spans="1:3" x14ac:dyDescent="0.2">
      <c r="A113" s="73">
        <v>1</v>
      </c>
      <c r="B113" s="131" t="s">
        <v>40</v>
      </c>
      <c r="C113" s="132"/>
    </row>
    <row r="114" spans="1:3" x14ac:dyDescent="0.2">
      <c r="A114" s="73" t="s">
        <v>39</v>
      </c>
      <c r="B114" s="127" t="s">
        <v>41</v>
      </c>
      <c r="C114" s="128"/>
    </row>
    <row r="115" spans="1:3" x14ac:dyDescent="0.2">
      <c r="A115" s="74" t="s">
        <v>15</v>
      </c>
      <c r="B115" s="125" t="s">
        <v>42</v>
      </c>
      <c r="C115" s="126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7" t="s">
        <v>127</v>
      </c>
      <c r="B1" s="137"/>
      <c r="C1" s="137"/>
      <c r="D1" s="137"/>
      <c r="E1" s="137"/>
      <c r="F1" s="137"/>
      <c r="G1" s="137"/>
      <c r="H1" s="14"/>
    </row>
    <row r="2" spans="1:14" x14ac:dyDescent="0.2">
      <c r="A2" s="143" t="s">
        <v>138</v>
      </c>
      <c r="B2" s="143"/>
      <c r="C2" s="15"/>
      <c r="D2" s="15"/>
      <c r="E2" s="15"/>
      <c r="F2" s="15"/>
      <c r="G2" s="15"/>
      <c r="H2" s="15"/>
    </row>
    <row r="3" spans="1:14" x14ac:dyDescent="0.2">
      <c r="A3" s="144" t="s">
        <v>52</v>
      </c>
      <c r="B3" s="144"/>
      <c r="C3" s="15"/>
      <c r="D3" s="15"/>
      <c r="E3" s="15"/>
      <c r="F3" s="15"/>
      <c r="G3" s="15"/>
      <c r="H3" s="15"/>
    </row>
    <row r="4" spans="1:14" x14ac:dyDescent="0.2">
      <c r="A4" s="144" t="s">
        <v>55</v>
      </c>
      <c r="B4" s="144"/>
      <c r="C4" s="15"/>
      <c r="D4" s="15"/>
      <c r="E4" s="15"/>
      <c r="F4" s="15"/>
      <c r="G4" s="15"/>
      <c r="H4" s="15"/>
    </row>
    <row r="5" spans="1:14" x14ac:dyDescent="0.2">
      <c r="A5" s="144" t="s">
        <v>51</v>
      </c>
      <c r="B5" s="144"/>
      <c r="C5" s="15"/>
      <c r="D5" s="15"/>
      <c r="E5" s="15"/>
      <c r="F5" s="15"/>
      <c r="G5" s="15"/>
      <c r="H5" s="15"/>
    </row>
    <row r="6" spans="1:14" x14ac:dyDescent="0.2">
      <c r="A6" s="141" t="s">
        <v>128</v>
      </c>
      <c r="B6" s="141"/>
    </row>
    <row r="7" spans="1:14" x14ac:dyDescent="0.2">
      <c r="A7" s="141" t="s">
        <v>129</v>
      </c>
      <c r="B7" s="141"/>
      <c r="C7" s="142"/>
      <c r="D7" s="142"/>
      <c r="E7" s="142"/>
      <c r="F7" s="142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1264" zoomScale="70" zoomScaleNormal="70" workbookViewId="0">
      <selection activeCell="A1289" sqref="A128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5409</v>
      </c>
      <c r="I2" s="42" t="s">
        <v>4828</v>
      </c>
      <c r="J2" s="42">
        <v>0.5</v>
      </c>
      <c r="K2" s="42"/>
      <c r="L2" s="42"/>
      <c r="M2" s="42"/>
      <c r="N2" s="13" t="s">
        <v>5378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5407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5374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5430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5440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5426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5379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5379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5375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2" t="s">
        <v>5434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7" t="s">
        <v>5439</v>
      </c>
      <c r="C1120" s="39">
        <v>0</v>
      </c>
      <c r="D1120" s="118" t="s">
        <v>149</v>
      </c>
      <c r="E1120" s="119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5427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1" customFormat="1" ht="15.75" thickBot="1" x14ac:dyDescent="0.3">
      <c r="A1186" s="114" t="s">
        <v>5435</v>
      </c>
      <c r="C1186" s="111">
        <v>0</v>
      </c>
      <c r="D1186" s="111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121" t="s">
        <v>5441</v>
      </c>
      <c r="C1288" s="39">
        <v>2</v>
      </c>
      <c r="D1288" s="31" t="s">
        <v>149</v>
      </c>
      <c r="E1288" s="39" t="s">
        <v>147</v>
      </c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4985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4986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4987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4988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4989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4990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4991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4992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4993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4994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4995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4996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4997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4998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4999</v>
      </c>
      <c r="C1370" s="32"/>
      <c r="E1370" s="32"/>
      <c r="F1370" s="32"/>
    </row>
    <row r="1371" spans="1:10" ht="15" x14ac:dyDescent="0.25">
      <c r="A1371" s="60" t="s">
        <v>5000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5001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5002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5003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5004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5005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5006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5007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5008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5009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5010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5011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5012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5013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5014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5015</v>
      </c>
      <c r="C1442" s="32"/>
      <c r="E1442" s="32"/>
      <c r="F1442" s="32"/>
    </row>
    <row r="1443" spans="1:7" ht="15" x14ac:dyDescent="0.25">
      <c r="A1443" s="60" t="s">
        <v>5016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5017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5018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5019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5020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5021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5022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5023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5024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5025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5026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5027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5028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5029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5030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5031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5032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5033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5034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5035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5036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5037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5038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5039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5040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5041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5042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5043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5044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5045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5046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5047</v>
      </c>
      <c r="C1572" s="32"/>
      <c r="E1572" s="32"/>
      <c r="F1572" s="32"/>
    </row>
    <row r="1573" spans="1:7" ht="15" x14ac:dyDescent="0.25">
      <c r="A1573" s="60" t="s">
        <v>5048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5049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5050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5051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5052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5053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5054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5055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5056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5057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5058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5059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5060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5061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5062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5063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5064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5065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5066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5067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5068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5069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5070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5071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5072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5073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5074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5075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5076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5077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5078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5079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5080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5081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5082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5083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5084</v>
      </c>
      <c r="C1726" s="32"/>
      <c r="E1726" s="32"/>
      <c r="F1726" s="32"/>
    </row>
    <row r="1727" spans="1:7" ht="15" x14ac:dyDescent="0.25">
      <c r="A1727" s="60" t="s">
        <v>5085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5086</v>
      </c>
      <c r="C1731" s="32"/>
      <c r="E1731" s="32"/>
      <c r="F1731" s="32"/>
    </row>
    <row r="1732" spans="1:7" ht="15" x14ac:dyDescent="0.25">
      <c r="A1732" s="60" t="s">
        <v>5087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5088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5089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5090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5" t="s">
        <v>5437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5091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5092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5093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5094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5095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5096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5097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5098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5099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5100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5101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5102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5103</v>
      </c>
      <c r="C1789" s="32"/>
      <c r="E1789" s="32"/>
      <c r="F1789" s="32"/>
    </row>
    <row r="1790" spans="1:7" ht="15" x14ac:dyDescent="0.25">
      <c r="A1790" s="60" t="s">
        <v>5104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5105</v>
      </c>
      <c r="C1797" s="32"/>
      <c r="E1797" s="32"/>
      <c r="F1797" s="32"/>
    </row>
    <row r="1798" spans="1:7" ht="15" x14ac:dyDescent="0.25">
      <c r="A1798" s="60" t="s">
        <v>5106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5107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5108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5109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5110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5111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5112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5113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5114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5115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5116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5117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5118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5119</v>
      </c>
      <c r="C1854" s="32"/>
      <c r="E1854" s="32"/>
      <c r="F1854" s="32"/>
    </row>
    <row r="1855" spans="1:7" ht="15" x14ac:dyDescent="0.25">
      <c r="A1855" s="60" t="s">
        <v>5120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5121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5122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5123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5124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5125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5126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5127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5128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5129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5130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5131</v>
      </c>
      <c r="C1892" s="32"/>
      <c r="E1892" s="32"/>
      <c r="F1892" s="32"/>
    </row>
    <row r="1893" spans="1:7" x14ac:dyDescent="0.2">
      <c r="A1893" s="36" t="s">
        <v>5431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5132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5133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5134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5135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5136</v>
      </c>
      <c r="C1917" s="32"/>
      <c r="E1917" s="32"/>
      <c r="F1917" s="32"/>
    </row>
    <row r="1918" spans="1:7" ht="15" x14ac:dyDescent="0.25">
      <c r="A1918" s="60" t="s">
        <v>5137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5138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5139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5140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5141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5142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5143</v>
      </c>
      <c r="C1940" s="32"/>
      <c r="E1940" s="32"/>
      <c r="F1940" s="32"/>
    </row>
    <row r="1941" spans="1:7" ht="15" x14ac:dyDescent="0.25">
      <c r="A1941" s="60" t="s">
        <v>5144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5145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5146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5147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5148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5149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5150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5151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5152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5153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5154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5155</v>
      </c>
      <c r="C1992" s="32"/>
      <c r="E1992" s="32"/>
      <c r="F1992" s="32"/>
    </row>
    <row r="1993" spans="1:7" x14ac:dyDescent="0.2">
      <c r="A1993" s="36" t="s">
        <v>5422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5156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5157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5158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5159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5160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5161</v>
      </c>
      <c r="C2011" s="32"/>
      <c r="E2011" s="32"/>
      <c r="F2011" s="32"/>
    </row>
    <row r="2012" spans="1:7" ht="15" x14ac:dyDescent="0.25">
      <c r="A2012" s="60" t="s">
        <v>5162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5163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5164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5165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5166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5167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5168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5169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5170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5171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5172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5173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5174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5175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5176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5177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5178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5179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5180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5181</v>
      </c>
      <c r="E2090" s="32"/>
      <c r="F2090" s="32"/>
    </row>
    <row r="2091" spans="1:7" ht="15" x14ac:dyDescent="0.25">
      <c r="A2091" s="60" t="s">
        <v>5182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5183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2" t="s">
        <v>5433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5184</v>
      </c>
      <c r="C2101" s="32"/>
      <c r="E2101" s="32"/>
      <c r="F2101" s="32"/>
    </row>
    <row r="2102" spans="1:7" ht="15" x14ac:dyDescent="0.25">
      <c r="A2102" s="60" t="s">
        <v>5185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5186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5187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5188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5189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5190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5191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5192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5193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5194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5195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5196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5197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5198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5199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5200</v>
      </c>
      <c r="C2208" s="32"/>
      <c r="D2208" s="32"/>
      <c r="E2208" s="32"/>
      <c r="F2208" s="32"/>
    </row>
    <row r="2209" spans="1:7" ht="15" x14ac:dyDescent="0.25">
      <c r="A2209" s="60" t="s">
        <v>5201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5202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5203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5204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5205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5206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5207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5208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5209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5210</v>
      </c>
      <c r="C2282" s="32"/>
      <c r="E2282" s="32"/>
      <c r="F2282" s="32"/>
    </row>
    <row r="2283" spans="1:7" ht="15" x14ac:dyDescent="0.25">
      <c r="A2283" s="60" t="s">
        <v>5211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5212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5213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5214</v>
      </c>
      <c r="C2301" s="32"/>
      <c r="E2301" s="32"/>
      <c r="F2301" s="32"/>
    </row>
    <row r="2302" spans="1:7" ht="15" x14ac:dyDescent="0.25">
      <c r="A2302" s="60" t="s">
        <v>5215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5216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5217</v>
      </c>
      <c r="C2309" s="32"/>
      <c r="E2309" s="32"/>
      <c r="F2309" s="32"/>
    </row>
    <row r="2310" spans="1:7" ht="15" x14ac:dyDescent="0.25">
      <c r="A2310" s="60" t="s">
        <v>5218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5219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5220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5221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5222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5223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5224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5225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5226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5227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5228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7" t="s">
        <v>5438</v>
      </c>
      <c r="C2392" s="39">
        <v>3</v>
      </c>
      <c r="D2392" s="118" t="s">
        <v>157</v>
      </c>
      <c r="E2392" s="119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5229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5230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5231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5232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5429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5233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5234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5235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5236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5237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5238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5239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5240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5241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5242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5243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2" t="s">
        <v>5432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5244</v>
      </c>
    </row>
    <row r="2524" spans="1:6" s="109" customFormat="1" ht="15" x14ac:dyDescent="0.25">
      <c r="A2524" s="110" t="s">
        <v>5428</v>
      </c>
      <c r="C2524" s="109">
        <v>3</v>
      </c>
      <c r="D2524" s="109" t="s">
        <v>149</v>
      </c>
      <c r="E2524" s="109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5245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5246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5247</v>
      </c>
    </row>
    <row r="2535" spans="1:7" ht="15" x14ac:dyDescent="0.25">
      <c r="A2535" s="60" t="s">
        <v>5248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5249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5250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5251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5252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5253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5254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5255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5256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5257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5258</v>
      </c>
    </row>
    <row r="2582" spans="1:7" ht="15" x14ac:dyDescent="0.25">
      <c r="A2582" s="60" t="s">
        <v>5259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5260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5261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5262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5263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5264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5265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5266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5267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5268</v>
      </c>
    </row>
    <row r="2621" spans="1:7" ht="15" x14ac:dyDescent="0.25">
      <c r="A2621" s="60" t="s">
        <v>5269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5270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5271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5272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5273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5274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5275</v>
      </c>
    </row>
    <row r="2658" spans="1:6" ht="15" x14ac:dyDescent="0.25">
      <c r="A2658" s="60" t="s">
        <v>5276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5277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3" customFormat="1" x14ac:dyDescent="0.2">
      <c r="A2670" s="36" t="s">
        <v>5436</v>
      </c>
      <c r="C2670" s="113">
        <v>1</v>
      </c>
      <c r="D2670" s="113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5278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5425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5279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5280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5281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5282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5283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5284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5285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5286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5287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5288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5289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5290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5291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5292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5293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5294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5295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5296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5297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5298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5299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5300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5301</v>
      </c>
    </row>
    <row r="2798" spans="1:7" ht="15" x14ac:dyDescent="0.25">
      <c r="A2798" s="60" t="s">
        <v>5302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5303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5304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5305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5306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5307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5308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5309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5310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5311</v>
      </c>
    </row>
    <row r="2858" spans="1:7" ht="15" x14ac:dyDescent="0.25">
      <c r="A2858" s="60" t="s">
        <v>5312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5313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5314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5315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5316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5317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5318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5319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5320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5321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5322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5323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5324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5325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5326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5327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5328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5329</v>
      </c>
    </row>
    <row r="2912" spans="1:6" ht="15" x14ac:dyDescent="0.25">
      <c r="A2912" s="60" t="s">
        <v>5330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5331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5332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5333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5334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5335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5336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5337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5338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5339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5340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5341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5342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5343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5344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5345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5346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5347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5348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5349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5350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5351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5352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5353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5354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5355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5356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6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5357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5358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5359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5360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5361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5362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5363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5364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5365</v>
      </c>
    </row>
    <row r="3097" spans="1:7" ht="15" x14ac:dyDescent="0.25">
      <c r="A3097" s="60" t="s">
        <v>5366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5367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5368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5369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5370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5371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5372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6" t="s">
        <v>138</v>
      </c>
      <c r="B2" s="46" t="s">
        <v>5447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6"/>
      <c r="C7" s="146"/>
      <c r="D7" s="146"/>
      <c r="E7" s="14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4" customFormat="1" ht="14.25" thickTop="1" thickBot="1" x14ac:dyDescent="0.25">
      <c r="A10" s="45" t="s">
        <v>5442</v>
      </c>
      <c r="B10" s="151"/>
      <c r="C10" s="151"/>
      <c r="D10" s="151"/>
      <c r="E10" s="151"/>
      <c r="F10" s="151"/>
      <c r="G10" s="151"/>
      <c r="H10" s="151"/>
      <c r="I10" s="152"/>
      <c r="J10" s="151"/>
      <c r="K10" s="151"/>
      <c r="L10" s="151"/>
      <c r="M10" s="151"/>
      <c r="N10" s="153"/>
      <c r="O10" s="153"/>
    </row>
    <row r="11" spans="1:15" s="124" customFormat="1" ht="13.5" thickTop="1" x14ac:dyDescent="0.2">
      <c r="A11" s="151"/>
      <c r="B11" s="151"/>
      <c r="C11" s="151"/>
      <c r="D11" s="151"/>
      <c r="E11" s="151"/>
      <c r="F11" s="151"/>
      <c r="G11" s="151"/>
      <c r="H11" s="151"/>
      <c r="I11" s="152"/>
      <c r="J11" s="151"/>
      <c r="K11" s="151"/>
      <c r="L11" s="151"/>
      <c r="M11" s="151"/>
      <c r="N11" s="153"/>
      <c r="O11" s="153"/>
    </row>
    <row r="12" spans="1:15" x14ac:dyDescent="0.2">
      <c r="A12" s="122" t="s">
        <v>3762</v>
      </c>
      <c r="B12" s="44" t="str">
        <f>IF(LEN(VLOOKUP(A12,'Species List'!$A:$G,2,FALSE))=0,"",VLOOKUP(A12,'Species List'!$A:$G,2,FALSE))</f>
        <v>smooth sumac</v>
      </c>
      <c r="C12" s="44">
        <f>IF(LEN(VLOOKUP(A12,'Species List'!$A:$G,3,FALSE))=0,"",VLOOKUP(A12,'Species List'!$A:$G,3,FALSE))</f>
        <v>2</v>
      </c>
      <c r="D12" s="99">
        <f t="shared" ref="D12:D13" si="0">VALUE(C12)</f>
        <v>2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91">
        <v>4</v>
      </c>
      <c r="K12" s="47" t="str">
        <f>VLOOKUP(J12,'Species List'!$H$1:$J$9,2,FALSE)</f>
        <v>&gt;50-75%</v>
      </c>
      <c r="L12" s="47">
        <f>VLOOKUP(K12,'Species List'!$I$1:$N$8,2,FALSE)</f>
        <v>62.5</v>
      </c>
      <c r="M12" s="100">
        <f t="shared" ref="M12:M13" si="1">VALUE(L12)</f>
        <v>62.5</v>
      </c>
      <c r="N12" s="108">
        <f t="shared" ref="N12:N77" si="2">L12/$L$153</f>
        <v>0.79113924050632911</v>
      </c>
      <c r="O12" s="108">
        <f t="shared" ref="O12:O13" si="3">D12*N12</f>
        <v>1.5822784810126582</v>
      </c>
    </row>
    <row r="13" spans="1:15" x14ac:dyDescent="0.2">
      <c r="A13" s="122" t="s">
        <v>2501</v>
      </c>
      <c r="B13" s="44" t="str">
        <f>IF(LEN(VLOOKUP(A13,'Species List'!$A:$G,2,FALSE))=0,"",VLOOKUP(A13,'Species List'!$A:$G,2,FALSE))</f>
        <v>black walnut</v>
      </c>
      <c r="C13" s="44">
        <f>IF(LEN(VLOOKUP(A13,'Species List'!$A:$G,3,FALSE))=0,"",VLOOKUP(A13,'Species List'!$A:$G,3,FALSE))</f>
        <v>4</v>
      </c>
      <c r="D13" s="99">
        <f t="shared" si="0"/>
        <v>4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23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8">
        <f t="shared" si="2"/>
        <v>3.7974683544303799E-2</v>
      </c>
      <c r="O13" s="108">
        <f t="shared" si="3"/>
        <v>0.15189873417721519</v>
      </c>
    </row>
    <row r="14" spans="1:15" x14ac:dyDescent="0.2">
      <c r="A14" s="122" t="s">
        <v>4597</v>
      </c>
      <c r="B14" s="44" t="str">
        <f>IF(LEN(VLOOKUP(A14,'Species List'!$A:$G,2,FALSE))=0,"",VLOOKUP(A14,'Species List'!$A:$G,2,FALSE))</f>
        <v>Siberian elm</v>
      </c>
      <c r="C14" s="44">
        <f>IF(LEN(VLOOKUP(A14,'Species List'!$A:$G,3,FALSE))=0,"",VLOOKUP(A14,'Species List'!$A:$G,3,FALSE))</f>
        <v>0</v>
      </c>
      <c r="D14" s="99">
        <f>VALUE(C14)</f>
        <v>0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UPL</v>
      </c>
      <c r="H14" s="44">
        <f>VLOOKUP(A14,'Species List'!$A:$G,7,FALSE)</f>
        <v>0</v>
      </c>
      <c r="J14" s="123" t="s">
        <v>5409</v>
      </c>
      <c r="K14" s="47" t="str">
        <f>VLOOKUP(J14,'Species List'!$H$1:$J$9,2,FALSE)</f>
        <v>&gt;0-1%</v>
      </c>
      <c r="L14" s="47">
        <f>VLOOKUP(K14,'Species List'!$I$1:$N$8,2,FALSE)</f>
        <v>0.5</v>
      </c>
      <c r="M14" s="100">
        <f>VALUE(L14)</f>
        <v>0.5</v>
      </c>
      <c r="N14" s="85">
        <f t="shared" si="2"/>
        <v>6.3291139240506328E-3</v>
      </c>
      <c r="O14" s="85">
        <f>D14*N14</f>
        <v>0</v>
      </c>
    </row>
    <row r="15" spans="1:15" x14ac:dyDescent="0.2">
      <c r="A15" s="122" t="s">
        <v>3836</v>
      </c>
      <c r="B15" s="44" t="str">
        <f>IF(LEN(VLOOKUP(A15,'Species List'!$A:$G,2,FALSE))=0,"",VLOOKUP(A15,'Species List'!$A:$G,2,FALSE))</f>
        <v>Allegheny blackberry</v>
      </c>
      <c r="C15" s="44">
        <f>IF(LEN(VLOOKUP(A15,'Species List'!$A:$G,3,FALSE))=0,"",VLOOKUP(A15,'Species List'!$A:$G,3,FALSE))</f>
        <v>2</v>
      </c>
      <c r="D15" s="99">
        <f t="shared" ref="D15:D78" si="4">VALUE(C15)</f>
        <v>2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[FACU+]</v>
      </c>
      <c r="H15" s="44">
        <f>VLOOKUP(A15,'Species List'!$A:$G,7,FALSE)</f>
        <v>0</v>
      </c>
      <c r="J15" s="123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85">
        <f t="shared" si="2"/>
        <v>3.7974683544303799E-2</v>
      </c>
      <c r="O15" s="98">
        <f t="shared" ref="O15:O78" si="6">D15*N15</f>
        <v>7.5949367088607597E-2</v>
      </c>
    </row>
    <row r="16" spans="1:15" x14ac:dyDescent="0.2">
      <c r="A16" s="122" t="s">
        <v>3755</v>
      </c>
      <c r="B16" s="44" t="str">
        <f>IF(LEN(VLOOKUP(A16,'Species List'!$A:$G,2,FALSE))=0,"",VLOOKUP(A16,'Species List'!$A:$G,2,FALSE))</f>
        <v>common buckthorn</v>
      </c>
      <c r="C16" s="44">
        <f>IF(LEN(VLOOKUP(A16,'Species List'!$A:$G,3,FALSE))=0,"",VLOOKUP(A16,'Species List'!$A:$G,3,FALSE))</f>
        <v>0</v>
      </c>
      <c r="D16" s="99">
        <f t="shared" si="4"/>
        <v>0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23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85">
        <f t="shared" si="2"/>
        <v>3.7974683544303799E-2</v>
      </c>
      <c r="O16" s="98">
        <f t="shared" si="6"/>
        <v>0</v>
      </c>
    </row>
    <row r="17" spans="1:15" x14ac:dyDescent="0.2">
      <c r="A17" s="122" t="s">
        <v>3643</v>
      </c>
      <c r="B17" s="44" t="str">
        <f>IF(LEN(VLOOKUP(A17,'Species List'!$A:$G,2,FALSE))=0,"",VLOOKUP(A17,'Species List'!$A:$G,2,FALSE))</f>
        <v>wild plum</v>
      </c>
      <c r="C17" s="44">
        <f>IF(LEN(VLOOKUP(A17,'Species List'!$A:$G,3,FALSE))=0,"",VLOOKUP(A17,'Species List'!$A:$G,3,FALSE))</f>
        <v>3</v>
      </c>
      <c r="D17" s="99">
        <f t="shared" si="4"/>
        <v>3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UPL</v>
      </c>
      <c r="H17" s="44">
        <f>VLOOKUP(A17,'Species List'!$A:$G,7,FALSE)</f>
        <v>0</v>
      </c>
      <c r="J17" s="123" t="s">
        <v>5407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85">
        <f t="shared" si="2"/>
        <v>3.7974683544303799E-2</v>
      </c>
      <c r="O17" s="98">
        <f t="shared" si="6"/>
        <v>0.11392405063291139</v>
      </c>
    </row>
    <row r="18" spans="1:15" x14ac:dyDescent="0.2">
      <c r="A18" s="122" t="s">
        <v>159</v>
      </c>
      <c r="B18" s="44" t="str">
        <f>IF(LEN(VLOOKUP(A18,'Species List'!$A:$G,2,FALSE))=0,"",VLOOKUP(A18,'Species List'!$A:$G,2,FALSE))</f>
        <v>amur maple</v>
      </c>
      <c r="C18" s="44">
        <f>IF(LEN(VLOOKUP(A18,'Species List'!$A:$G,3,FALSE))=0,"",VLOOKUP(A18,'Species List'!$A:$G,3,FALSE))</f>
        <v>0</v>
      </c>
      <c r="D18" s="99">
        <f t="shared" si="4"/>
        <v>0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23" t="s">
        <v>5409</v>
      </c>
      <c r="K18" s="47" t="str">
        <f>VLOOKUP(J18,'Species List'!$H$1:$J$9,2,FALSE)</f>
        <v>&gt;0-1%</v>
      </c>
      <c r="L18" s="47">
        <f>VLOOKUP(K18,'Species List'!$I$1:$N$8,2,FALSE)</f>
        <v>0.5</v>
      </c>
      <c r="M18" s="100">
        <f t="shared" si="5"/>
        <v>0.5</v>
      </c>
      <c r="N18" s="85">
        <f t="shared" si="2"/>
        <v>6.3291139240506328E-3</v>
      </c>
      <c r="O18" s="98">
        <f t="shared" si="6"/>
        <v>0</v>
      </c>
    </row>
    <row r="19" spans="1:15" x14ac:dyDescent="0.2">
      <c r="A19" s="122" t="s">
        <v>5443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0</v>
      </c>
      <c r="D19" s="99">
        <f t="shared" si="4"/>
        <v>0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23" t="s">
        <v>5407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85">
        <f t="shared" si="2"/>
        <v>3.7974683544303799E-2</v>
      </c>
      <c r="O19" s="98">
        <f t="shared" si="6"/>
        <v>0</v>
      </c>
    </row>
    <row r="20" spans="1:15" x14ac:dyDescent="0.2">
      <c r="A20" s="122" t="s">
        <v>2144</v>
      </c>
      <c r="B20" s="44" t="str">
        <f>IF(LEN(VLOOKUP(A20,'Species List'!$A:$G,2,FALSE))=0,"",VLOOKUP(A20,'Species List'!$A:$G,2,FALSE))</f>
        <v>green ash</v>
      </c>
      <c r="C20" s="44">
        <f>IF(LEN(VLOOKUP(A20,'Species List'!$A:$G,3,FALSE))=0,"",VLOOKUP(A20,'Species List'!$A:$G,3,FALSE))</f>
        <v>2</v>
      </c>
      <c r="D20" s="99">
        <f t="shared" si="4"/>
        <v>2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FACW</v>
      </c>
      <c r="H20" s="44">
        <f>VLOOKUP(A20,'Species List'!$A:$G,7,FALSE)</f>
        <v>0</v>
      </c>
      <c r="J20" s="123" t="s">
        <v>5409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100">
        <f t="shared" si="5"/>
        <v>0.5</v>
      </c>
      <c r="N20" s="85">
        <f t="shared" si="2"/>
        <v>6.3291139240506328E-3</v>
      </c>
      <c r="O20" s="98">
        <f t="shared" si="6"/>
        <v>1.2658227848101266E-2</v>
      </c>
    </row>
    <row r="21" spans="1:15" x14ac:dyDescent="0.2">
      <c r="A21" s="9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5"/>
        <v>#N/A</v>
      </c>
      <c r="N21" s="85" t="e">
        <f t="shared" si="2"/>
        <v>#N/A</v>
      </c>
      <c r="O21" s="98" t="e">
        <f t="shared" si="6"/>
        <v>#N/A</v>
      </c>
    </row>
    <row r="22" spans="1:15" x14ac:dyDescent="0.2">
      <c r="A22" s="9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85" t="e">
        <f t="shared" si="2"/>
        <v>#N/A</v>
      </c>
      <c r="O22" s="98" t="e">
        <f t="shared" si="6"/>
        <v>#N/A</v>
      </c>
    </row>
    <row r="23" spans="1:15" x14ac:dyDescent="0.2">
      <c r="A23" s="9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85" t="e">
        <f t="shared" si="2"/>
        <v>#N/A</v>
      </c>
      <c r="O23" s="98" t="e">
        <f t="shared" si="6"/>
        <v>#N/A</v>
      </c>
    </row>
    <row r="24" spans="1:15" x14ac:dyDescent="0.2">
      <c r="A24" s="9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7" t="s">
        <v>5376</v>
      </c>
      <c r="J153" s="148"/>
      <c r="K153" s="149"/>
      <c r="L153" s="63">
        <f>SUMIF(L12:L152,"&gt;=0")</f>
        <v>79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6"/>
      <c r="C7" s="146"/>
      <c r="D7" s="146"/>
      <c r="E7" s="14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4" customFormat="1" ht="14.25" thickTop="1" thickBot="1" x14ac:dyDescent="0.25">
      <c r="A10" s="45" t="s">
        <v>5445</v>
      </c>
      <c r="B10" s="151"/>
      <c r="C10" s="151"/>
      <c r="D10" s="151"/>
      <c r="E10" s="151"/>
      <c r="F10" s="151"/>
      <c r="G10" s="151"/>
      <c r="H10" s="151"/>
      <c r="I10" s="152"/>
      <c r="J10" s="151"/>
      <c r="K10" s="151"/>
      <c r="L10" s="151"/>
      <c r="M10" s="151"/>
      <c r="N10" s="153"/>
      <c r="O10" s="153"/>
    </row>
    <row r="11" spans="1:15" s="124" customFormat="1" ht="13.5" thickTop="1" x14ac:dyDescent="0.2">
      <c r="A11" s="151"/>
      <c r="B11" s="151"/>
      <c r="C11" s="151"/>
      <c r="D11" s="151"/>
      <c r="E11" s="151"/>
      <c r="F11" s="151"/>
      <c r="G11" s="151"/>
      <c r="H11" s="151"/>
      <c r="I11" s="152"/>
      <c r="J11" s="151"/>
      <c r="K11" s="151"/>
      <c r="L11" s="151"/>
      <c r="M11" s="151"/>
      <c r="N11" s="153"/>
      <c r="O11" s="153"/>
    </row>
    <row r="12" spans="1:15" x14ac:dyDescent="0.2">
      <c r="A12" s="122" t="s">
        <v>2339</v>
      </c>
      <c r="B12" s="44" t="str">
        <f>IF(LEN(VLOOKUP(A12,'Species List'!$A:$G,2,FALSE))=0,"",VLOOKUP(A12,'Species List'!$A:$G,2,FALSE))</f>
        <v>stiff sunflower</v>
      </c>
      <c r="C12" s="44">
        <f>IF(LEN(VLOOKUP(A12,'Species List'!$A:$G,3,FALSE))=0,"",VLOOKUP(A12,'Species List'!$A:$G,3,FALSE))</f>
        <v>7</v>
      </c>
      <c r="D12" s="99">
        <f t="shared" ref="D12:D13" si="0">VALUE(C12)</f>
        <v>7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23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100">
        <f t="shared" ref="M12:M14" si="1">VALUE(L12)</f>
        <v>37.5</v>
      </c>
      <c r="N12" s="108">
        <f t="shared" ref="N12:N13" si="2">L12/$L$153</f>
        <v>0.31380753138075312</v>
      </c>
      <c r="O12" s="108">
        <f t="shared" ref="O12:O13" si="3">D12*N12</f>
        <v>2.1966527196652716</v>
      </c>
    </row>
    <row r="13" spans="1:15" x14ac:dyDescent="0.2">
      <c r="A13" s="122" t="s">
        <v>352</v>
      </c>
      <c r="B13" s="44" t="str">
        <f>IF(LEN(VLOOKUP(A13,'Species List'!$A:$G,2,FALSE))=0,"",VLOOKUP(A13,'Species List'!$A:$G,2,FALSE))</f>
        <v>leadplant</v>
      </c>
      <c r="C13" s="44">
        <f>IF(LEN(VLOOKUP(A13,'Species List'!$A:$G,3,FALSE))=0,"",VLOOKUP(A13,'Species List'!$A:$G,3,FALSE))</f>
        <v>7</v>
      </c>
      <c r="D13" s="99">
        <f t="shared" si="0"/>
        <v>7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23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8">
        <f t="shared" si="2"/>
        <v>0.12552301255230125</v>
      </c>
      <c r="O13" s="108">
        <f t="shared" si="3"/>
        <v>0.87866108786610875</v>
      </c>
    </row>
    <row r="14" spans="1:15" x14ac:dyDescent="0.2">
      <c r="A14" s="122" t="s">
        <v>2048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4</v>
      </c>
      <c r="D14" s="99">
        <f>VALUE(C14)</f>
        <v>4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23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85">
        <f>L14/$L$153</f>
        <v>2.5104602510460251E-2</v>
      </c>
      <c r="O14" s="85">
        <f>D14*N14</f>
        <v>0.100418410041841</v>
      </c>
    </row>
    <row r="15" spans="1:15" x14ac:dyDescent="0.2">
      <c r="A15" s="122" t="s">
        <v>2946</v>
      </c>
      <c r="B15" s="44" t="str">
        <f>IF(LEN(VLOOKUP(A15,'Species List'!$A:$G,2,FALSE))=0,"",VLOOKUP(A15,'Species List'!$A:$G,2,FALSE))</f>
        <v>wild bergamot</v>
      </c>
      <c r="C15" s="44">
        <f>IF(LEN(VLOOKUP(A15,'Species List'!$A:$G,3,FALSE))=0,"",VLOOKUP(A15,'Species List'!$A:$G,3,FALSE))</f>
        <v>3</v>
      </c>
      <c r="D15" s="99">
        <f t="shared" ref="D15:D78" si="4">VALUE(C15)</f>
        <v>3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23" t="s">
        <v>5407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98">
        <f t="shared" ref="N15:N78" si="6">L15/$L$153</f>
        <v>2.5104602510460251E-2</v>
      </c>
      <c r="O15" s="98">
        <f t="shared" ref="O15:O78" si="7">D15*N15</f>
        <v>7.5313807531380755E-2</v>
      </c>
    </row>
    <row r="16" spans="1:15" x14ac:dyDescent="0.2">
      <c r="A16" s="122" t="s">
        <v>4433</v>
      </c>
      <c r="B16" s="44" t="str">
        <f>IF(LEN(VLOOKUP(A16,'Species List'!$A:$G,2,FALSE))=0,"",VLOOKUP(A16,'Species List'!$A:$G,2,FALSE))</f>
        <v>awl aster</v>
      </c>
      <c r="C16" s="44">
        <f>IF(LEN(VLOOKUP(A16,'Species List'!$A:$G,3,FALSE))=0,"",VLOOKUP(A16,'Species List'!$A:$G,3,FALSE))</f>
        <v>1</v>
      </c>
      <c r="D16" s="99">
        <f t="shared" si="4"/>
        <v>1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 t="str">
        <f>VLOOKUP(A16,'Species List'!$A:$G,7,FALSE)</f>
        <v>W</v>
      </c>
      <c r="J16" s="123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2.5104602510460251E-2</v>
      </c>
      <c r="O16" s="98">
        <f t="shared" si="7"/>
        <v>2.5104602510460251E-2</v>
      </c>
    </row>
    <row r="17" spans="1:15" x14ac:dyDescent="0.2">
      <c r="A17" s="122" t="s">
        <v>643</v>
      </c>
      <c r="B17" s="44" t="str">
        <f>IF(LEN(VLOOKUP(A17,'Species List'!$A:$G,2,FALSE))=0,"",VLOOKUP(A17,'Species List'!$A:$G,2,FALSE))</f>
        <v>hoary alyssum</v>
      </c>
      <c r="C17" s="44">
        <f>IF(LEN(VLOOKUP(A17,'Species List'!$A:$G,3,FALSE))=0,"",VLOOKUP(A17,'Species List'!$A:$G,3,FALSE))</f>
        <v>0</v>
      </c>
      <c r="D17" s="99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23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2.5104602510460251E-2</v>
      </c>
      <c r="O17" s="98">
        <f t="shared" si="7"/>
        <v>0</v>
      </c>
    </row>
    <row r="18" spans="1:15" x14ac:dyDescent="0.2">
      <c r="A18" s="122" t="s">
        <v>186</v>
      </c>
      <c r="B18" s="44" t="str">
        <f>IF(LEN(VLOOKUP(A18,'Species List'!$A:$G,2,FALSE))=0,"",VLOOKUP(A18,'Species List'!$A:$G,2,FALSE))</f>
        <v>common yarrow</v>
      </c>
      <c r="C18" s="44">
        <f>IF(LEN(VLOOKUP(A18,'Species List'!$A:$G,3,FALSE))=0,"",VLOOKUP(A18,'Species List'!$A:$G,3,FALSE))</f>
        <v>1</v>
      </c>
      <c r="D18" s="99">
        <f t="shared" si="4"/>
        <v>1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23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2.5104602510460251E-2</v>
      </c>
      <c r="O18" s="98">
        <f t="shared" si="7"/>
        <v>2.5104602510460251E-2</v>
      </c>
    </row>
    <row r="19" spans="1:15" x14ac:dyDescent="0.2">
      <c r="A19" s="122" t="s">
        <v>1614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7</v>
      </c>
      <c r="D19" s="99">
        <f t="shared" si="4"/>
        <v>7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23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2.5104602510460251E-2</v>
      </c>
      <c r="O19" s="98">
        <f t="shared" si="7"/>
        <v>0.17573221757322174</v>
      </c>
    </row>
    <row r="20" spans="1:15" x14ac:dyDescent="0.2">
      <c r="A20" s="122" t="s">
        <v>552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6</v>
      </c>
      <c r="D20" s="99">
        <f t="shared" si="4"/>
        <v>6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23">
        <v>1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2.5104602510460251E-2</v>
      </c>
      <c r="O20" s="98">
        <f t="shared" si="7"/>
        <v>0.15062761506276151</v>
      </c>
    </row>
    <row r="21" spans="1:15" x14ac:dyDescent="0.2">
      <c r="A21" s="122" t="s">
        <v>320</v>
      </c>
      <c r="B21" s="44" t="str">
        <f>IF(LEN(VLOOKUP(A21,'Species List'!$A:$G,2,FALSE))=0,"",VLOOKUP(A21,'Species List'!$A:$G,2,FALSE))</f>
        <v>common ragweed</v>
      </c>
      <c r="C21" s="44">
        <f>IF(LEN(VLOOKUP(A21,'Species List'!$A:$G,3,FALSE))=0,"",VLOOKUP(A21,'Species List'!$A:$G,3,FALSE))</f>
        <v>0</v>
      </c>
      <c r="D21" s="99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123">
        <v>2</v>
      </c>
      <c r="K21" s="47" t="str">
        <f>VLOOKUP(J21,'Species List'!$H$1:$J$9,2,FALSE)</f>
        <v>&gt;5-25%</v>
      </c>
      <c r="L21" s="47">
        <f>VLOOKUP(K21,'Species List'!$I$1:$N$8,2,FALSE)</f>
        <v>15</v>
      </c>
      <c r="M21" s="100">
        <f t="shared" si="5"/>
        <v>15</v>
      </c>
      <c r="N21" s="98">
        <f t="shared" si="6"/>
        <v>0.12552301255230125</v>
      </c>
      <c r="O21" s="98">
        <f t="shared" si="7"/>
        <v>0</v>
      </c>
    </row>
    <row r="22" spans="1:15" x14ac:dyDescent="0.2">
      <c r="A22" s="122" t="s">
        <v>3621</v>
      </c>
      <c r="B22" s="44" t="str">
        <f>IF(LEN(VLOOKUP(A22,'Species List'!$A:$G,2,FALSE))=0,"",VLOOKUP(A22,'Species List'!$A:$G,2,FALSE))</f>
        <v>rough-fruited cinquefoil</v>
      </c>
      <c r="C22" s="44">
        <f>IF(LEN(VLOOKUP(A22,'Species List'!$A:$G,3,FALSE))=0,"",VLOOKUP(A22,'Species List'!$A:$G,3,FALSE))</f>
        <v>0</v>
      </c>
      <c r="D22" s="99">
        <f t="shared" si="4"/>
        <v>0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23">
        <v>1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2.5104602510460251E-2</v>
      </c>
      <c r="O22" s="98">
        <f t="shared" si="7"/>
        <v>0</v>
      </c>
    </row>
    <row r="23" spans="1:15" x14ac:dyDescent="0.2">
      <c r="A23" s="122" t="s">
        <v>4399</v>
      </c>
      <c r="B23" s="44" t="str">
        <f>IF(LEN(VLOOKUP(A23,'Species List'!$A:$G,2,FALSE))=0,"",VLOOKUP(A23,'Species List'!$A:$G,2,FALSE))</f>
        <v>heath aster</v>
      </c>
      <c r="C23" s="44">
        <f>IF(LEN(VLOOKUP(A23,'Species List'!$A:$G,3,FALSE))=0,"",VLOOKUP(A23,'Species List'!$A:$G,3,FALSE))</f>
        <v>4</v>
      </c>
      <c r="D23" s="99">
        <f t="shared" si="4"/>
        <v>4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[FAC-]</v>
      </c>
      <c r="H23" s="44">
        <f>VLOOKUP(A23,'Species List'!$A:$G,7,FALSE)</f>
        <v>0</v>
      </c>
      <c r="J23" s="123">
        <v>1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2.5104602510460251E-2</v>
      </c>
      <c r="O23" s="98">
        <f t="shared" si="7"/>
        <v>0.100418410041841</v>
      </c>
    </row>
    <row r="24" spans="1:15" x14ac:dyDescent="0.2">
      <c r="A24" s="122" t="s">
        <v>437</v>
      </c>
      <c r="B24" s="44" t="str">
        <f>IF(LEN(VLOOKUP(A24,'Species List'!$A:$G,2,FALSE))=0,"",VLOOKUP(A24,'Species List'!$A:$G,2,FALSE))</f>
        <v>American hemp</v>
      </c>
      <c r="C24" s="44">
        <f>IF(LEN(VLOOKUP(A24,'Species List'!$A:$G,3,FALSE))=0,"",VLOOKUP(A24,'Species List'!$A:$G,3,FALSE))</f>
        <v>3</v>
      </c>
      <c r="D24" s="99">
        <f t="shared" si="4"/>
        <v>3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</v>
      </c>
      <c r="H24" s="44">
        <f>VLOOKUP(A24,'Species List'!$A:$G,7,FALSE)</f>
        <v>0</v>
      </c>
      <c r="J24" s="123" t="s">
        <v>5407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2.5104602510460251E-2</v>
      </c>
      <c r="O24" s="98">
        <f t="shared" si="7"/>
        <v>7.5313807531380755E-2</v>
      </c>
    </row>
    <row r="25" spans="1:15" x14ac:dyDescent="0.2">
      <c r="A25" s="122" t="s">
        <v>3149</v>
      </c>
      <c r="B25" s="44" t="str">
        <f>IF(LEN(VLOOKUP(A25,'Species List'!$A:$G,2,FALSE))=0,"",VLOOKUP(A25,'Species List'!$A:$G,2,FALSE))</f>
        <v>yellow wood sorrel</v>
      </c>
      <c r="C25" s="44">
        <f>IF(LEN(VLOOKUP(A25,'Species List'!$A:$G,3,FALSE))=0,"",VLOOKUP(A25,'Species List'!$A:$G,3,FALSE))</f>
        <v>0</v>
      </c>
      <c r="D25" s="99">
        <f t="shared" si="4"/>
        <v>0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[FACU]</v>
      </c>
      <c r="H25" s="44">
        <f>VLOOKUP(A25,'Species List'!$A:$G,7,FALSE)</f>
        <v>0</v>
      </c>
      <c r="J25" s="123" t="s">
        <v>5407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2.5104602510460251E-2</v>
      </c>
      <c r="O25" s="98">
        <f t="shared" si="7"/>
        <v>0</v>
      </c>
    </row>
    <row r="26" spans="1:15" x14ac:dyDescent="0.2">
      <c r="A26" s="122" t="s">
        <v>4650</v>
      </c>
      <c r="B26" s="44" t="str">
        <f>IF(LEN(VLOOKUP(A26,'Species List'!$A:$G,2,FALSE))=0,"",VLOOKUP(A26,'Species List'!$A:$G,2,FALSE))</f>
        <v>common mullein</v>
      </c>
      <c r="C26" s="44">
        <f>IF(LEN(VLOOKUP(A26,'Species List'!$A:$G,3,FALSE))=0,"",VLOOKUP(A26,'Species List'!$A:$G,3,FALSE))</f>
        <v>0</v>
      </c>
      <c r="D26" s="99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>UPL</v>
      </c>
      <c r="H26" s="44">
        <f>VLOOKUP(A26,'Species List'!$A:$G,7,FALSE)</f>
        <v>0</v>
      </c>
      <c r="J26" s="123" t="s">
        <v>5409</v>
      </c>
      <c r="K26" s="47" t="str">
        <f>VLOOKUP(J26,'Species List'!$H$1:$J$9,2,FALSE)</f>
        <v>&gt;0-1%</v>
      </c>
      <c r="L26" s="47">
        <f>VLOOKUP(K26,'Species List'!$I$1:$N$8,2,FALSE)</f>
        <v>0.5</v>
      </c>
      <c r="M26" s="100">
        <f t="shared" si="5"/>
        <v>0.5</v>
      </c>
      <c r="N26" s="98">
        <f t="shared" si="6"/>
        <v>4.1841004184100415E-3</v>
      </c>
      <c r="O26" s="98">
        <f t="shared" si="7"/>
        <v>0</v>
      </c>
    </row>
    <row r="27" spans="1:15" x14ac:dyDescent="0.2">
      <c r="A27" s="122" t="s">
        <v>443</v>
      </c>
      <c r="B27" s="44" t="str">
        <f>IF(LEN(VLOOKUP(A27,'Species List'!$A:$G,2,FALSE))=0,"",VLOOKUP(A27,'Species List'!$A:$G,2,FALSE))</f>
        <v>columbine</v>
      </c>
      <c r="C27" s="44">
        <f>IF(LEN(VLOOKUP(A27,'Species List'!$A:$G,3,FALSE))=0,"",VLOOKUP(A27,'Species List'!$A:$G,3,FALSE))</f>
        <v>4</v>
      </c>
      <c r="D27" s="99">
        <f t="shared" si="4"/>
        <v>4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FAC-</v>
      </c>
      <c r="H27" s="44">
        <f>VLOOKUP(A27,'Species List'!$A:$G,7,FALSE)</f>
        <v>0</v>
      </c>
      <c r="J27" s="123" t="s">
        <v>5407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2.5104602510460251E-2</v>
      </c>
      <c r="O27" s="98">
        <f t="shared" si="7"/>
        <v>0.100418410041841</v>
      </c>
    </row>
    <row r="28" spans="1:15" x14ac:dyDescent="0.2">
      <c r="A28" s="122" t="s">
        <v>5446</v>
      </c>
      <c r="B28" s="44" t="e">
        <f>IF(LEN(VLOOKUP(A28,'Species List'!$A:$G,2,FALSE))=0,"",VLOOKUP(A28,'Species List'!$A:$G,2,FALSE))</f>
        <v>#N/A</v>
      </c>
      <c r="C28" s="44">
        <v>7</v>
      </c>
      <c r="D28" s="99">
        <f t="shared" si="4"/>
        <v>7</v>
      </c>
      <c r="E28" s="44" t="s">
        <v>149</v>
      </c>
      <c r="F28" s="44" t="s">
        <v>147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123" t="s">
        <v>5407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2.5104602510460251E-2</v>
      </c>
      <c r="O28" s="98">
        <f t="shared" si="7"/>
        <v>0.17573221757322174</v>
      </c>
    </row>
    <row r="29" spans="1:15" x14ac:dyDescent="0.2">
      <c r="A29" s="122" t="s">
        <v>1439</v>
      </c>
      <c r="B29" s="44" t="str">
        <f>IF(LEN(VLOOKUP(A29,'Species List'!$A:$G,2,FALSE))=0,"",VLOOKUP(A29,'Species List'!$A:$G,2,FALSE))</f>
        <v>bird's foot coreopsis</v>
      </c>
      <c r="C29" s="44">
        <f>IF(LEN(VLOOKUP(A29,'Species List'!$A:$G,3,FALSE))=0,"",VLOOKUP(A29,'Species List'!$A:$G,3,FALSE))</f>
        <v>8</v>
      </c>
      <c r="D29" s="99">
        <f t="shared" si="4"/>
        <v>8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/>
      </c>
      <c r="H29" s="44">
        <f>VLOOKUP(A29,'Species List'!$A:$G,7,FALSE)</f>
        <v>0</v>
      </c>
      <c r="J29" s="123">
        <v>1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2.5104602510460251E-2</v>
      </c>
      <c r="O29" s="98">
        <f t="shared" si="7"/>
        <v>0.20083682008368201</v>
      </c>
    </row>
    <row r="30" spans="1:15" x14ac:dyDescent="0.2">
      <c r="A30" s="122" t="s">
        <v>4210</v>
      </c>
      <c r="B30" s="44" t="str">
        <f>IF(LEN(VLOOKUP(A30,'Species List'!$A:$G,2,FALSE))=0,"",VLOOKUP(A30,'Species List'!$A:$G,2,FALSE))</f>
        <v>late goldenrod</v>
      </c>
      <c r="C30" s="44">
        <f>IF(LEN(VLOOKUP(A30,'Species List'!$A:$G,3,FALSE))=0,"",VLOOKUP(A30,'Species List'!$A:$G,3,FALSE))</f>
        <v>1</v>
      </c>
      <c r="D30" s="99">
        <f t="shared" si="4"/>
        <v>1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</v>
      </c>
      <c r="H30" s="44">
        <f>VLOOKUP(A30,'Species List'!$A:$G,7,FALSE)</f>
        <v>0</v>
      </c>
      <c r="J30" s="123" t="s">
        <v>5407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2.5104602510460251E-2</v>
      </c>
      <c r="O30" s="98">
        <f t="shared" si="7"/>
        <v>2.5104602510460251E-2</v>
      </c>
    </row>
    <row r="31" spans="1:15" x14ac:dyDescent="0.2">
      <c r="A31" s="122" t="s">
        <v>4466</v>
      </c>
      <c r="B31" s="44" t="str">
        <f>IF(LEN(VLOOKUP(A31,'Species List'!$A:$G,2,FALSE))=0,"",VLOOKUP(A31,'Species List'!$A:$G,2,FALSE))</f>
        <v>common dandelion</v>
      </c>
      <c r="C31" s="44">
        <f>IF(LEN(VLOOKUP(A31,'Species List'!$A:$G,3,FALSE))=0,"",VLOOKUP(A31,'Species List'!$A:$G,3,FALSE))</f>
        <v>0</v>
      </c>
      <c r="D31" s="99">
        <f t="shared" si="4"/>
        <v>0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Introduced</v>
      </c>
      <c r="G31" s="44" t="str">
        <f>IF(LEN(VLOOKUP(A31,'Species List'!$A:$G,6,FALSE))=0,"",VLOOKUP(A31,'Species List'!$A:$G,6,FALSE))</f>
        <v>FACU</v>
      </c>
      <c r="H31" s="44">
        <f>VLOOKUP(A31,'Species List'!$A:$G,7,FALSE)</f>
        <v>0</v>
      </c>
      <c r="J31" s="123" t="s">
        <v>5407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2.5104602510460251E-2</v>
      </c>
      <c r="O31" s="98">
        <f t="shared" si="7"/>
        <v>0</v>
      </c>
    </row>
    <row r="32" spans="1:15" x14ac:dyDescent="0.2">
      <c r="A32" s="122" t="s">
        <v>245</v>
      </c>
      <c r="B32" s="44" t="str">
        <f>IF(LEN(VLOOKUP(A32,'Species List'!$A:$G,2,FALSE))=0,"",VLOOKUP(A32,'Species List'!$A:$G,2,FALSE))</f>
        <v>roadside agrimony</v>
      </c>
      <c r="C32" s="44">
        <f>IF(LEN(VLOOKUP(A32,'Species List'!$A:$G,3,FALSE))=0,"",VLOOKUP(A32,'Species List'!$A:$G,3,FALSE))</f>
        <v>3</v>
      </c>
      <c r="D32" s="99">
        <f t="shared" si="4"/>
        <v>3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FAC-</v>
      </c>
      <c r="H32" s="44">
        <f>VLOOKUP(A32,'Species List'!$A:$G,7,FALSE)</f>
        <v>0</v>
      </c>
      <c r="J32" s="123" t="s">
        <v>5409</v>
      </c>
      <c r="K32" s="47" t="str">
        <f>VLOOKUP(J32,'Species List'!$H$1:$J$9,2,FALSE)</f>
        <v>&gt;0-1%</v>
      </c>
      <c r="L32" s="47">
        <f>VLOOKUP(K32,'Species List'!$I$1:$N$8,2,FALSE)</f>
        <v>0.5</v>
      </c>
      <c r="M32" s="100">
        <f t="shared" si="5"/>
        <v>0.5</v>
      </c>
      <c r="N32" s="98">
        <f t="shared" si="6"/>
        <v>4.1841004184100415E-3</v>
      </c>
      <c r="O32" s="98">
        <f t="shared" si="7"/>
        <v>1.2552301255230124E-2</v>
      </c>
    </row>
    <row r="33" spans="1:15" x14ac:dyDescent="0.2">
      <c r="A33" s="122" t="s">
        <v>518</v>
      </c>
      <c r="B33" s="44" t="str">
        <f>IF(LEN(VLOOKUP(A33,'Species List'!$A:$G,2,FALSE))=0,"",VLOOKUP(A33,'Species List'!$A:$G,2,FALSE))</f>
        <v/>
      </c>
      <c r="C33" s="44">
        <f>IF(LEN(VLOOKUP(A33,'Species List'!$A:$G,3,FALSE))=0,"",VLOOKUP(A33,'Species List'!$A:$G,3,FALSE))</f>
        <v>3</v>
      </c>
      <c r="D33" s="99">
        <f t="shared" si="4"/>
        <v>3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UPL</v>
      </c>
      <c r="H33" s="44">
        <f>VLOOKUP(A33,'Species List'!$A:$G,7,FALSE)</f>
        <v>0</v>
      </c>
      <c r="J33" s="123" t="s">
        <v>5407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98">
        <f t="shared" si="6"/>
        <v>2.5104602510460251E-2</v>
      </c>
      <c r="O33" s="98">
        <f t="shared" si="7"/>
        <v>7.5313807531380755E-2</v>
      </c>
    </row>
    <row r="34" spans="1:15" x14ac:dyDescent="0.2">
      <c r="A34" s="105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06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98" t="e">
        <f t="shared" si="6"/>
        <v>#N/A</v>
      </c>
      <c r="O34" s="98" t="e">
        <f t="shared" si="7"/>
        <v>#N/A</v>
      </c>
    </row>
    <row r="35" spans="1:15" x14ac:dyDescent="0.2">
      <c r="A35" s="105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06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98" t="e">
        <f t="shared" si="6"/>
        <v>#N/A</v>
      </c>
      <c r="O35" s="98" t="e">
        <f t="shared" si="7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98" t="e">
        <f t="shared" si="6"/>
        <v>#N/A</v>
      </c>
      <c r="O36" s="98" t="e">
        <f t="shared" si="7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98" t="e">
        <f t="shared" si="6"/>
        <v>#N/A</v>
      </c>
      <c r="O37" s="98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7" t="s">
        <v>5376</v>
      </c>
      <c r="J153" s="148"/>
      <c r="K153" s="149"/>
      <c r="L153" s="63">
        <f>SUMIF(L12:L152,"&gt;=0")</f>
        <v>119.5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A10" sqref="A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6"/>
      <c r="C7" s="146"/>
      <c r="D7" s="146"/>
      <c r="E7" s="146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5423</v>
      </c>
      <c r="D9" s="49" t="s">
        <v>5414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5423</v>
      </c>
      <c r="M9" s="49" t="s">
        <v>133</v>
      </c>
      <c r="N9" s="43" t="s">
        <v>4833</v>
      </c>
      <c r="O9" s="43" t="s">
        <v>4834</v>
      </c>
    </row>
    <row r="10" spans="1:15" s="124" customFormat="1" ht="14.25" thickTop="1" thickBot="1" x14ac:dyDescent="0.25">
      <c r="A10" s="45" t="s">
        <v>5444</v>
      </c>
      <c r="B10" s="151"/>
      <c r="C10" s="151"/>
      <c r="D10" s="151"/>
      <c r="E10" s="151"/>
      <c r="F10" s="151"/>
      <c r="G10" s="151"/>
      <c r="H10" s="151"/>
      <c r="I10" s="152"/>
      <c r="J10" s="151"/>
      <c r="K10" s="151"/>
      <c r="L10" s="151"/>
      <c r="M10" s="151"/>
      <c r="N10" s="153"/>
      <c r="O10" s="153"/>
    </row>
    <row r="11" spans="1:15" s="124" customFormat="1" ht="13.5" thickTop="1" x14ac:dyDescent="0.2">
      <c r="A11" s="151"/>
      <c r="B11" s="151"/>
      <c r="C11" s="151"/>
      <c r="D11" s="151"/>
      <c r="E11" s="151"/>
      <c r="F11" s="151"/>
      <c r="G11" s="151"/>
      <c r="H11" s="151"/>
      <c r="I11" s="152"/>
      <c r="J11" s="151"/>
      <c r="K11" s="151"/>
      <c r="L11" s="151"/>
      <c r="M11" s="151"/>
      <c r="N11" s="153"/>
      <c r="O11" s="153"/>
    </row>
    <row r="12" spans="1:15" x14ac:dyDescent="0.2">
      <c r="A12" s="122" t="s">
        <v>783</v>
      </c>
      <c r="B12" s="44" t="str">
        <f>IF(LEN(VLOOKUP(A12,'Species List'!$A:$G,2,FALSE))=0,"",VLOOKUP(A12,'Species List'!$A:$G,2,FALSE))</f>
        <v>smooth brome</v>
      </c>
      <c r="C12" s="44">
        <f>IF(LEN(VLOOKUP(A12,'Species List'!$A:$G,3,FALSE))=0,"",VLOOKUP(A12,'Species List'!$A:$G,3,FALSE))</f>
        <v>0</v>
      </c>
      <c r="D12" s="99">
        <f t="shared" ref="D12:D20" si="0">VALUE(C12)</f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23">
        <v>4</v>
      </c>
      <c r="K12" s="47" t="str">
        <f>VLOOKUP(J12,'Species List'!$H$1:$J$9,2,FALSE)</f>
        <v>&gt;50-75%</v>
      </c>
      <c r="L12" s="47">
        <f>VLOOKUP(K12,'Species List'!$I$1:$N$8,2,FALSE)</f>
        <v>62.5</v>
      </c>
      <c r="M12" s="100">
        <f t="shared" ref="M12:M78" si="1">VALUE(L12)</f>
        <v>62.5</v>
      </c>
      <c r="N12" s="108">
        <f t="shared" ref="N12:N77" si="2">L12/$L$153</f>
        <v>0.77639751552795033</v>
      </c>
      <c r="O12" s="108">
        <f t="shared" ref="O12:O78" si="3">D12*N12</f>
        <v>0</v>
      </c>
    </row>
    <row r="13" spans="1:15" x14ac:dyDescent="0.2">
      <c r="A13" s="122" t="s">
        <v>4329</v>
      </c>
      <c r="B13" s="44" t="str">
        <f>IF(LEN(VLOOKUP(A13,'Species List'!$A:$G,2,FALSE))=0,"",VLOOKUP(A13,'Species List'!$A:$G,2,FALSE))</f>
        <v>prairie dropseed</v>
      </c>
      <c r="C13" s="44">
        <f>IF(LEN(VLOOKUP(A13,'Species List'!$A:$G,3,FALSE))=0,"",VLOOKUP(A13,'Species List'!$A:$G,3,FALSE))</f>
        <v>9</v>
      </c>
      <c r="D13" s="99">
        <f t="shared" si="0"/>
        <v>9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FACU-</v>
      </c>
      <c r="H13" s="44">
        <f>VLOOKUP(A13,'Species List'!$A:$G,7,FALSE)</f>
        <v>0</v>
      </c>
      <c r="J13" s="123" t="s">
        <v>5407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100">
        <f t="shared" si="1"/>
        <v>3</v>
      </c>
      <c r="N13" s="108">
        <f t="shared" si="2"/>
        <v>3.7267080745341616E-2</v>
      </c>
      <c r="O13" s="108">
        <f t="shared" si="3"/>
        <v>0.33540372670807456</v>
      </c>
    </row>
    <row r="14" spans="1:15" x14ac:dyDescent="0.2">
      <c r="A14" s="122" t="s">
        <v>1882</v>
      </c>
      <c r="B14" s="44" t="str">
        <f>IF(LEN(VLOOKUP(A14,'Species List'!$A:$G,2,FALSE))=0,"",VLOOKUP(A14,'Species List'!$A:$G,2,FALSE))</f>
        <v>quackgrass</v>
      </c>
      <c r="C14" s="44">
        <f>IF(LEN(VLOOKUP(A14,'Species List'!$A:$G,3,FALSE))=0,"",VLOOKUP(A14,'Species List'!$A:$G,3,FALSE))</f>
        <v>0</v>
      </c>
      <c r="D14" s="99">
        <f t="shared" si="0"/>
        <v>0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[FACU]</v>
      </c>
      <c r="H14" s="44">
        <f>VLOOKUP(A14,'Species List'!$A:$G,7,FALSE)</f>
        <v>0</v>
      </c>
      <c r="J14" s="123" t="s">
        <v>5407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107">
        <f t="shared" si="2"/>
        <v>3.7267080745341616E-2</v>
      </c>
      <c r="O14" s="107">
        <f t="shared" si="3"/>
        <v>0</v>
      </c>
    </row>
    <row r="15" spans="1:15" x14ac:dyDescent="0.2">
      <c r="A15" s="122" t="s">
        <v>1970</v>
      </c>
      <c r="B15" s="44" t="str">
        <f>IF(LEN(VLOOKUP(A15,'Species List'!$A:$G,2,FALSE))=0,"",VLOOKUP(A15,'Species List'!$A:$G,2,FALSE))</f>
        <v>purple lovegrass</v>
      </c>
      <c r="C15" s="44">
        <f>IF(LEN(VLOOKUP(A15,'Species List'!$A:$G,3,FALSE))=0,"",VLOOKUP(A15,'Species List'!$A:$G,3,FALSE))</f>
        <v>3</v>
      </c>
      <c r="D15" s="99">
        <f t="shared" si="0"/>
        <v>3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UPL</v>
      </c>
      <c r="H15" s="44">
        <f>VLOOKUP(A15,'Species List'!$A:$G,7,FALSE)</f>
        <v>0</v>
      </c>
      <c r="J15" s="123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3.7267080745341616E-2</v>
      </c>
      <c r="O15" s="98">
        <f t="shared" si="3"/>
        <v>0.11180124223602485</v>
      </c>
    </row>
    <row r="16" spans="1:15" x14ac:dyDescent="0.2">
      <c r="A16" s="122" t="s">
        <v>756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6</v>
      </c>
      <c r="D16" s="99">
        <f t="shared" si="0"/>
        <v>6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23" t="s">
        <v>5407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1"/>
        <v>3</v>
      </c>
      <c r="N16" s="98">
        <f t="shared" si="2"/>
        <v>3.7267080745341616E-2</v>
      </c>
      <c r="O16" s="98">
        <f t="shared" si="3"/>
        <v>0.2236024844720497</v>
      </c>
    </row>
    <row r="17" spans="1:15" x14ac:dyDescent="0.2">
      <c r="A17" s="122" t="s">
        <v>3443</v>
      </c>
      <c r="B17" s="44" t="str">
        <f>IF(LEN(VLOOKUP(A17,'Species List'!$A:$G,2,FALSE))=0,"",VLOOKUP(A17,'Species List'!$A:$G,2,FALSE))</f>
        <v>Kentucky bluegrass</v>
      </c>
      <c r="C17" s="44">
        <f>IF(LEN(VLOOKUP(A17,'Species List'!$A:$G,3,FALSE))=0,"",VLOOKUP(A17,'Species List'!$A:$G,3,FALSE))</f>
        <v>0</v>
      </c>
      <c r="D17" s="99">
        <f t="shared" si="0"/>
        <v>0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</v>
      </c>
      <c r="H17" s="44">
        <f>VLOOKUP(A17,'Species List'!$A:$G,7,FALSE)</f>
        <v>0</v>
      </c>
      <c r="J17" s="123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1"/>
        <v>3</v>
      </c>
      <c r="N17" s="98">
        <f t="shared" si="2"/>
        <v>3.7267080745341616E-2</v>
      </c>
      <c r="O17" s="98">
        <f t="shared" si="3"/>
        <v>0</v>
      </c>
    </row>
    <row r="18" spans="1:15" x14ac:dyDescent="0.2">
      <c r="A18" s="122" t="s">
        <v>1691</v>
      </c>
      <c r="B18" s="44" t="str">
        <f>IF(LEN(VLOOKUP(A18,'Species List'!$A:$G,2,FALSE))=0,"",VLOOKUP(A18,'Species List'!$A:$G,2,FALSE))</f>
        <v>Scribner's panic grass</v>
      </c>
      <c r="C18" s="44">
        <f>IF(LEN(VLOOKUP(A18,'Species List'!$A:$G,3,FALSE))=0,"",VLOOKUP(A18,'Species List'!$A:$G,3,FALSE))</f>
        <v>3</v>
      </c>
      <c r="D18" s="99">
        <f t="shared" si="0"/>
        <v>3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23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1"/>
        <v>3</v>
      </c>
      <c r="N18" s="98">
        <f t="shared" si="2"/>
        <v>3.7267080745341616E-2</v>
      </c>
      <c r="O18" s="98">
        <f t="shared" si="3"/>
        <v>0.11180124223602485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6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7" t="s">
        <v>5376</v>
      </c>
      <c r="J153" s="148"/>
      <c r="K153" s="149"/>
      <c r="L153" s="63">
        <f>SUMIF(L12:L152,"&gt;=0")</f>
        <v>80.5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0" t="s">
        <v>4837</v>
      </c>
      <c r="B1" s="150"/>
      <c r="C1" s="150"/>
      <c r="D1" s="150"/>
      <c r="E1" s="150"/>
      <c r="F1" s="150"/>
    </row>
    <row r="2" spans="1:6" s="31" customFormat="1" ht="24" customHeight="1" thickTop="1" thickBot="1" x14ac:dyDescent="0.4">
      <c r="A2" s="55"/>
      <c r="B2" s="56" t="s">
        <v>5419</v>
      </c>
      <c r="C2" s="56" t="s">
        <v>5415</v>
      </c>
      <c r="D2" s="56" t="s">
        <v>5416</v>
      </c>
      <c r="E2" s="56" t="s">
        <v>5417</v>
      </c>
      <c r="F2" s="56" t="s">
        <v>5418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5410</v>
      </c>
      <c r="B4" s="102">
        <f>COUNTIF(Woody!$F$12:$F$151,"Native")</f>
        <v>5</v>
      </c>
      <c r="C4" s="102">
        <f>COUNTIF(Forbs!$F$12:$F$150,"Native")</f>
        <v>18</v>
      </c>
      <c r="D4" s="102">
        <f>COUNTIF(Grasses!$F$12:$F$151,"Native")</f>
        <v>4</v>
      </c>
      <c r="E4" s="102">
        <f>AVERAGE(B4:D4)</f>
        <v>9</v>
      </c>
      <c r="F4" s="102">
        <f>SUM(B4:D4)</f>
        <v>27</v>
      </c>
    </row>
    <row r="5" spans="1:6" ht="18" x14ac:dyDescent="0.25">
      <c r="A5" s="53" t="s">
        <v>4842</v>
      </c>
      <c r="B5" s="102">
        <f>COUNTIF(Woody!$F12:$F201,"Introduced")</f>
        <v>4</v>
      </c>
      <c r="C5" s="102">
        <f>COUNTIF(Forbs!$F12:$F201,"Introduced")</f>
        <v>4</v>
      </c>
      <c r="D5" s="102">
        <f>COUNTIF(Grasses!$F12:$F201,"Introduced")</f>
        <v>3</v>
      </c>
      <c r="E5" s="102">
        <f t="shared" ref="E5:E6" si="0">AVERAGE(B5:D5)</f>
        <v>3.6666666666666665</v>
      </c>
      <c r="F5" s="102">
        <f>SUM(B5:D5)</f>
        <v>11</v>
      </c>
    </row>
    <row r="6" spans="1:6" s="81" customFormat="1" ht="21" x14ac:dyDescent="0.35">
      <c r="A6" s="53" t="s">
        <v>5411</v>
      </c>
      <c r="B6" s="102">
        <f>SUM(B4:B5)</f>
        <v>9</v>
      </c>
      <c r="C6" s="102">
        <f>SUM(C4:C5)</f>
        <v>22</v>
      </c>
      <c r="D6" s="102">
        <f>SUM(D4:D5)</f>
        <v>7</v>
      </c>
      <c r="E6" s="102">
        <f t="shared" si="0"/>
        <v>12.666666666666666</v>
      </c>
      <c r="F6" s="102">
        <f>SUM(B6:D6)</f>
        <v>38</v>
      </c>
    </row>
    <row r="7" spans="1:6" ht="18" x14ac:dyDescent="0.25">
      <c r="A7" s="53" t="s">
        <v>4843</v>
      </c>
      <c r="B7" s="102">
        <f>AVERAGEIF(Woody!D12:D152,"&gt;0")</f>
        <v>2.6</v>
      </c>
      <c r="C7" s="102">
        <f>AVERAGEIF(Forbs!D12:D152,"&gt;0")</f>
        <v>4.3125</v>
      </c>
      <c r="D7" s="102">
        <f>AVERAGEIF(Grasses!D12:D152,"&gt;0")</f>
        <v>5.25</v>
      </c>
      <c r="E7" s="102">
        <f>AVERAGE(B7:D7)</f>
        <v>4.0541666666666663</v>
      </c>
      <c r="F7" s="102">
        <f>(SUMIF(Woody!D12:D152,"&gt;0")+SUMIF(Forbs!D12:D152,"&gt;0")+SUMIF(Grasses!D12:D152,"&gt;0"))/(COUNTIF(Woody!D12:D152,"&gt;0")+COUNTIF(Forbs!D12:D152,"&gt;0")+COUNTIF(Grasses!D12:D152,"&gt;0"))</f>
        <v>4.12</v>
      </c>
    </row>
    <row r="8" spans="1:6" s="31" customFormat="1" ht="21" x14ac:dyDescent="0.35">
      <c r="A8" s="53" t="s">
        <v>5412</v>
      </c>
      <c r="B8" s="102">
        <f>AVERAGEIF(Woody!D12:D152,"&gt;=0")</f>
        <v>1.4444444444444444</v>
      </c>
      <c r="C8" s="102">
        <f>AVERAGEIF(Forbs!D12:D152,"&gt;=0")</f>
        <v>3.1363636363636362</v>
      </c>
      <c r="D8" s="102">
        <f>AVERAGEIF(Grasses!D12:D152,"&gt;=0")</f>
        <v>3</v>
      </c>
      <c r="E8" s="102">
        <f>AVERAGE(B8:D8)</f>
        <v>2.5269360269360268</v>
      </c>
      <c r="F8" s="102">
        <f>(SUMIF(Woody!D12:D152,"&gt;=0")+SUMIF(Forbs!D12:D152,"&gt;=0")+SUMIF(Grasses!D12:D152,"&gt;=0"))/(COUNTIF(Woody!D12:D152,"&gt;=0")+COUNTIF(Forbs!D12:D152,"&gt;=0")+COUNTIF(Grasses!D12:D152,"&gt;=0"))</f>
        <v>2.7105263157894739</v>
      </c>
    </row>
    <row r="9" spans="1:6" ht="18" x14ac:dyDescent="0.25">
      <c r="A9" s="53" t="s">
        <v>4836</v>
      </c>
      <c r="B9" s="102">
        <f>SQRT(B4)*B7</f>
        <v>5.8137767414994537</v>
      </c>
      <c r="C9" s="102">
        <f>SQRT(C4)*C7</f>
        <v>18.296387963201916</v>
      </c>
      <c r="D9" s="102">
        <f>SQRT(D4)*D7</f>
        <v>10.5</v>
      </c>
      <c r="E9" s="102">
        <f>SQRT(E4)*E7</f>
        <v>12.162499999999998</v>
      </c>
      <c r="F9" s="102">
        <f>SQRT(F4)*F7</f>
        <v>21.408147981551323</v>
      </c>
    </row>
    <row r="10" spans="1:6" s="82" customFormat="1" ht="21" x14ac:dyDescent="0.35">
      <c r="A10" s="53" t="s">
        <v>5413</v>
      </c>
      <c r="B10" s="102">
        <f>SQRT(B6)*B8</f>
        <v>4.333333333333333</v>
      </c>
      <c r="C10" s="102">
        <f>SQRT(C6)*C8</f>
        <v>14.71084942853712</v>
      </c>
      <c r="D10" s="102">
        <f>SQRT(D6)*D8</f>
        <v>7.9372539331937721</v>
      </c>
      <c r="E10" s="102">
        <f>SQRT(E6)*E8</f>
        <v>8.9934312324910195</v>
      </c>
      <c r="F10" s="102">
        <f>SQRT(F6)*F8</f>
        <v>16.708806376468541</v>
      </c>
    </row>
    <row r="11" spans="1:6" ht="18" x14ac:dyDescent="0.25">
      <c r="A11" s="53" t="s">
        <v>4844</v>
      </c>
      <c r="B11" s="102">
        <f>SUMIF(Woody!$M$12:$M$152,"&gt;=0")</f>
        <v>79</v>
      </c>
      <c r="C11" s="102">
        <f>SUMIF(Forbs!$M$12:$M$153,"&gt;=0")</f>
        <v>119.5</v>
      </c>
      <c r="D11" s="102">
        <f>SUMIF(Grasses!$M$12:$M$152,"&gt;=0")</f>
        <v>80.5</v>
      </c>
      <c r="E11" s="102">
        <f>AVERAGE(B11:D11)</f>
        <v>93</v>
      </c>
      <c r="F11" s="102">
        <f>SUM(B11:D11)</f>
        <v>279</v>
      </c>
    </row>
    <row r="12" spans="1:6" ht="18" x14ac:dyDescent="0.25">
      <c r="A12" s="53" t="s">
        <v>5377</v>
      </c>
      <c r="B12" s="102">
        <f>SUMIF(Woody!$F$12:$F$152,"Introduced",Woody!$L$12:$L$152)</f>
        <v>7</v>
      </c>
      <c r="C12" s="102">
        <f>SUMIF(Forbs!$F$12:$F$153,"Introduced",Forbs!$L$12:$L$153)</f>
        <v>9.5</v>
      </c>
      <c r="D12" s="102">
        <f>SUMIF(Grasses!$F$12:$F$152,"Introduced",Grasses!$L$12:$L$152)</f>
        <v>68.5</v>
      </c>
      <c r="E12" s="102">
        <f>AVERAGE(B12:D12)</f>
        <v>28.333333333333332</v>
      </c>
      <c r="F12" s="102">
        <f>SUM(B12:D12)</f>
        <v>85</v>
      </c>
    </row>
    <row r="13" spans="1:6" ht="18.75" thickBot="1" x14ac:dyDescent="0.3">
      <c r="A13" s="54" t="s">
        <v>4845</v>
      </c>
      <c r="B13" s="103">
        <f>B12/B11</f>
        <v>8.8607594936708861E-2</v>
      </c>
      <c r="C13" s="103">
        <f>C12/C11</f>
        <v>7.9497907949790794E-2</v>
      </c>
      <c r="D13" s="103">
        <f>D12/D11</f>
        <v>0.85093167701863359</v>
      </c>
      <c r="E13" s="103">
        <f>E12/E11</f>
        <v>0.30465949820788529</v>
      </c>
      <c r="F13" s="103">
        <f>F12/F11</f>
        <v>0.30465949820788529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1.9367088607594936</v>
      </c>
      <c r="C15" s="101">
        <f>SUMIF(Forbs!$O$12:$O$152,"&gt;=0")</f>
        <v>4.3933054393305433</v>
      </c>
      <c r="D15" s="101">
        <f>SUMIF(Grasses!$O$12:$O$152,"&gt;=0")</f>
        <v>0.78260869565217395</v>
      </c>
      <c r="E15" s="101">
        <f>AVERAGE(B15:D15)</f>
        <v>2.3708743319140702</v>
      </c>
      <c r="F15" s="102">
        <f>SUM(B15:D15)</f>
        <v>7.1126229957422105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2023-01-27T17:57:49Z</dcterms:modified>
</cp:coreProperties>
</file>