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57A4B2AB-A417-48C0-9EC7-892E4DB544BE}" xr6:coauthVersionLast="47" xr6:coauthVersionMax="47" xr10:uidLastSave="{00000000-0000-0000-0000-000000000000}"/>
  <bookViews>
    <workbookView xWindow="-108" yWindow="-108" windowWidth="23256" windowHeight="12456" tabRatio="938" firstSheet="2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SiteList" sheetId="11" r:id="rId6"/>
    <sheet name="Grasses" sheetId="6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<sst xmlns="http://schemas.openxmlformats.org/spreadsheetml/2006/main" count="13297" uniqueCount="5525">
  <si>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</si>
  <si>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</si>
  <si>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</si>
  <si>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</si>
  <si>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</si>
  <si>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</si>
  <si>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</si>
  <si>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</si>
  <si>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</si>
  <si>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</si>
  <si>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</si>
  <si>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</si>
  <si>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</si>
  <si>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</si>
  <si>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</si>
  <si>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</si>
  <si>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</si>
  <si>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</si>
  <si>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</si>
  <si>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</si>
  <si>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</si>
  <si>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</si>
  <si>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</si>
  <si>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</si>
  <si>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</si>
  <si>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</si>
  <si>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</si>
  <si>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</si>
  <si>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</si>
  <si>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</si>
  <si>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</si>
  <si>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</si>
  <si>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</si>
  <si>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</si>
  <si>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</si>
  <si>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</si>
  <si>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</si>
  <si>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</si>
  <si>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</si>
  <si>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</si>
  <si>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</si>
  <si>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</si>
  <si>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</si>
  <si>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</si>
  <si>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</si>
  <si>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</si>
  <si>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</si>
  <si>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</si>
  <si>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</si>
  <si>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</si>
  <si>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</si>
  <si>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</si>
  <si>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</si>
  <si>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</si>
  <si>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</si>
  <si>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</si>
  <si>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</si>
  <si>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</si>
  <si>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</si>
  <si>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</si>
  <si>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</si>
  <si>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</si>
  <si>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</si>
  <si>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</si>
  <si>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</si>
  <si>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</si>
  <si>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</si>
  <si>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</si>
  <si>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</si>
  <si>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</si>
  <si>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</si>
  <si>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</si>
  <si>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</si>
  <si>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</si>
  <si>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</si>
  <si>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</si>
  <si>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</si>
  <si>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</si>
  <si>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</si>
  <si>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</si>
  <si>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</si>
  <si>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</si>
  <si>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</si>
  <si>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</si>
  <si>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</si>
  <si>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</si>
  <si>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</si>
  <si>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</si>
  <si>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</si>
  <si>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</si>
  <si>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</si>
  <si>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</si>
  <si>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</si>
  <si>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</si>
  <si>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</si>
  <si>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</si>
  <si>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</si>
  <si>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</si>
  <si>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</si>
  <si>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</si>
  <si>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</si>
  <si>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</si>
  <si>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</si>
  <si>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</si>
  <si>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</si>
  <si>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</si>
  <si>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</si>
  <si>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</si>
  <si>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</si>
  <si>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</si>
  <si>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</si>
  <si>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</si>
  <si>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</si>
  <si>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</si>
  <si>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</si>
  <si>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</si>
  <si>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</si>
  <si>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</si>
  <si>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</si>
  <si>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</si>
  <si>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</si>
  <si>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</si>
  <si>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</si>
  <si>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</si>
  <si>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</si>
  <si>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</si>
  <si>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</si>
  <si>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</si>
  <si>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</si>
  <si>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</si>
  <si>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</si>
  <si>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</si>
  <si>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</si>
  <si>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</si>
  <si>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</si>
  <si>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</si>
  <si>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</si>
  <si>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</si>
  <si>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</si>
  <si>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</si>
  <si>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</si>
  <si>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</si>
  <si>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</si>
  <si>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</si>
  <si>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</si>
  <si>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</si>
  <si>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</si>
  <si>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</si>
  <si>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</si>
  <si>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</si>
  <si>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</si>
  <si>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</si>
  <si>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</si>
  <si>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</si>
  <si>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</si>
  <si>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</si>
  <si>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</si>
  <si>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</si>
  <si>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</si>
  <si>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</si>
  <si>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</si>
  <si>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</si>
  <si>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</si>
  <si>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</si>
  <si>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</si>
  <si>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</si>
  <si>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</si>
  <si>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</si>
  <si>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</si>
  <si>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</si>
  <si>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</si>
  <si>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</si>
  <si>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</si>
  <si>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</si>
  <si>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</si>
  <si>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</si>
  <si>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</si>
  <si>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</si>
  <si>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</si>
  <si>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</si>
  <si>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</si>
  <si>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</si>
  <si>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</si>
  <si>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</si>
  <si>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</si>
  <si>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</si>
  <si>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</si>
  <si>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</si>
  <si>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</si>
  <si>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</si>
  <si>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</si>
  <si>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</si>
  <si>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</si>
  <si>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</si>
  <si>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</si>
  <si>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</si>
  <si>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</si>
  <si>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</si>
  <si>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</si>
  <si>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</si>
  <si>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</si>
  <si>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</si>
  <si>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</si>
  <si>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</si>
  <si>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</si>
  <si>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</si>
  <si>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</si>
  <si>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</si>
  <si>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</si>
  <si>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</si>
  <si>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</si>
  <si>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</si>
  <si>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</si>
  <si>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</si>
  <si>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</si>
  <si>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</si>
  <si>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</si>
  <si>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</si>
  <si>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</si>
  <si>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</si>
  <si>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</si>
  <si>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</si>
  <si>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</si>
  <si>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</si>
  <si>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</si>
  <si>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</si>
  <si>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</si>
  <si>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</si>
  <si>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</si>
  <si>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</si>
  <si>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</si>
  <si>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</si>
  <si>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</si>
  <si>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</si>
  <si>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</si>
  <si>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</si>
  <si>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</si>
  <si>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</si>
  <si>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</si>
  <si>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</si>
  <si>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</si>
  <si>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</si>
  <si>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</si>
  <si>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</si>
  <si>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</si>
  <si>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</si>
  <si>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</si>
  <si>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</si>
  <si>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</si>
  <si>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</si>
  <si>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</si>
  <si>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</si>
  <si>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</si>
  <si>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</si>
  <si>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</si>
  <si>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</si>
  <si>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</si>
  <si>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</si>
  <si>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</si>
  <si>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</si>
  <si>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</si>
  <si>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</si>
  <si>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</si>
  <si>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</si>
  <si>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</si>
  <si>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</si>
  <si>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</si>
  <si>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</si>
  <si>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</si>
  <si>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</si>
  <si>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</si>
  <si>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</si>
  <si>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</si>
  <si>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</si>
  <si>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</si>
  <si>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</si>
  <si>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</si>
  <si>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</si>
  <si>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</si>
  <si>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</si>
  <si>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</si>
  <si>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</si>
  <si>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</si>
  <si>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</si>
  <si>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</si>
  <si>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</si>
  <si>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</si>
  <si>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</si>
  <si>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</si>
  <si>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</si>
  <si>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</si>
  <si>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</si>
  <si>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</si>
  <si>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</si>
  <si>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</si>
  <si>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</si>
  <si>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</si>
  <si>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</si>
  <si>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</si>
  <si>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</si>
  <si>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</si>
  <si>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</si>
  <si>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</si>
  <si>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</si>
  <si>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</si>
  <si>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</si>
  <si>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</si>
  <si>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</si>
  <si>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</si>
  <si>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</si>
  <si>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</si>
  <si>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</si>
  <si>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</si>
  <si>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</si>
  <si>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</si>
  <si>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</si>
  <si>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</si>
  <si>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</si>
  <si>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</si>
  <si>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</si>
  <si>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</si>
  <si>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</si>
  <si>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</si>
  <si>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</si>
  <si>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</si>
  <si>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</si>
  <si>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</si>
  <si>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</si>
  <si>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</si>
  <si>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</si>
  <si>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</si>
  <si>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</si>
  <si>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</si>
  <si>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</si>
  <si>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</si>
  <si>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</si>
  <si>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</si>
  <si>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</si>
  <si>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</si>
  <si>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</si>
  <si>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</si>
  <si>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</si>
  <si>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</si>
  <si>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</si>
  <si>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</si>
  <si>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</si>
  <si>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</si>
  <si>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</si>
  <si>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</si>
  <si>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</si>
  <si>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</si>
  <si>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</si>
  <si>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</si>
  <si>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</si>
  <si>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</si>
  <si>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</si>
  <si>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</si>
  <si>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</si>
  <si>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</si>
  <si>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</si>
  <si>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</si>
  <si>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</si>
  <si>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</si>
  <si>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</si>
  <si>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</si>
  <si>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</si>
  <si>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</si>
  <si>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</si>
  <si>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</si>
  <si>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</si>
  <si>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</si>
  <si>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</si>
  <si>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</si>
  <si>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</si>
  <si>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</si>
  <si>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</si>
  <si>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</si>
  <si>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</si>
  <si>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</si>
  <si>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</si>
  <si>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</si>
  <si>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</si>
  <si>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</si>
  <si>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</si>
  <si>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</si>
  <si>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</si>
  <si>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</si>
  <si>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</si>
  <si>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</si>
  <si>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</si>
  <si>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</si>
  <si>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</si>
  <si>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</si>
  <si>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</si>
  <si>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</si>
  <si>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</si>
  <si>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</si>
  <si>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</si>
  <si>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</si>
  <si>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</si>
  <si>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</si>
  <si>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</si>
  <si>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</si>
  <si>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</si>
  <si>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</si>
  <si>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</si>
  <si>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</si>
  <si>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</si>
  <si>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</si>
  <si>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</si>
  <si>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</si>
  <si>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</si>
  <si>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</si>
  <si>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</si>
  <si>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</si>
  <si>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</si>
  <si>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</si>
  <si>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</si>
  <si>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</si>
  <si>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</si>
  <si>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</si>
  <si>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</si>
  <si>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</si>
  <si>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</si>
  <si>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</si>
  <si>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</si>
  <si>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</si>
  <si>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</si>
  <si>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</si>
  <si>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</si>
  <si>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</si>
  <si>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</si>
  <si>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</si>
  <si>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</si>
  <si>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</si>
  <si>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</si>
  <si>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</si>
  <si>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</si>
  <si>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</si>
  <si>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</si>
  <si>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</si>
  <si>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</si>
  <si>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</si>
  <si>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</si>
  <si>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</si>
  <si>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</si>
  <si>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</si>
  <si>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</si>
  <si>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</si>
  <si>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</si>
  <si>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</si>
  <si>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</si>
  <si>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</si>
  <si>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</si>
  <si>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</si>
  <si>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</si>
  <si>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</si>
  <si>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</si>
  <si>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</si>
  <si>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</si>
  <si>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</si>
  <si>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</si>
  <si>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</si>
  <si>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</si>
  <si>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</si>
  <si>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</si>
  <si>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</si>
  <si>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</si>
  <si>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</si>
  <si>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</si>
  <si>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</si>
  <si>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</si>
  <si>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</si>
  <si>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</si>
  <si>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</si>
  <si>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</si>
  <si>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</si>
  <si>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</si>
  <si>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</si>
  <si>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</si>
  <si>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</si>
  <si>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</si>
  <si>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</si>
  <si>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</si>
  <si>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</si>
  <si>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</si>
  <si>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</si>
  <si>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</si>
  <si>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</si>
  <si>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</si>
  <si>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</si>
  <si>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</si>
  <si>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</si>
  <si>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</si>
  <si>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</si>
  <si>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</si>
  <si>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</si>
  <si>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</si>
  <si>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</si>
  <si>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</si>
  <si>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</si>
  <si>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</si>
  <si>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</si>
  <si>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</si>
  <si>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</si>
  <si>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</si>
  <si>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</si>
  <si>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</si>
  <si>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</si>
  <si>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</si>
  <si>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</si>
  <si>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</si>
  <si>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</si>
  <si>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</si>
  <si>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</si>
  <si>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</si>
  <si>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</si>
  <si>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</si>
  <si>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</si>
  <si>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</si>
  <si>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</si>
  <si>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</si>
  <si>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</si>
  <si>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</si>
  <si>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</si>
  <si>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</si>
  <si>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</si>
  <si>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</si>
  <si>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</si>
  <si>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</si>
  <si>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</si>
  <si>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</si>
  <si>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</si>
  <si>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</si>
  <si>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</si>
  <si>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</si>
  <si>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</si>
  <si>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</si>
  <si>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</si>
  <si>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</si>
  <si>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</si>
  <si>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</si>
  <si>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</si>
  <si>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</si>
  <si>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</si>
  <si>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</si>
  <si>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</si>
  <si>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</si>
  <si>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</si>
  <si>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</si>
  <si>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</si>
  <si>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</si>
  <si>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</si>
  <si>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</si>
  <si>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</si>
  <si>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</si>
  <si>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</si>
  <si>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</si>
  <si>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</si>
  <si>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</si>
  <si>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</si>
  <si>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</si>
  <si>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</si>
  <si>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</si>
  <si>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</si>
  <si>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</si>
  <si>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</si>
  <si>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</si>
  <si>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</si>
  <si>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</si>
  <si>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</si>
  <si>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</si>
  <si>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</si>
  <si>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</si>
  <si>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</si>
  <si>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</si>
  <si>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</si>
  <si>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</si>
  <si>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</si>
  <si>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</si>
  <si>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</si>
  <si>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</si>
  <si>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</si>
  <si>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</si>
  <si>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</si>
  <si>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</si>
  <si>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</si>
  <si>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</si>
  <si>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</si>
  <si>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</si>
  <si>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</si>
  <si>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</si>
  <si>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</si>
  <si>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</si>
  <si>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</si>
  <si>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</si>
  <si>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</si>
  <si>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</si>
  <si>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</si>
  <si>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</si>
  <si>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</si>
  <si>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</si>
  <si>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</si>
  <si>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</si>
  <si>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</si>
  <si>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</si>
  <si>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</si>
  <si>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</si>
  <si>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</si>
  <si>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</si>
  <si>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</si>
  <si>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</si>
  <si>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</si>
  <si>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</si>
  <si>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</si>
  <si>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</si>
  <si>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</si>
  <si>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</si>
  <si>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</si>
  <si>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</si>
  <si>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</si>
  <si>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</si>
  <si>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</si>
  <si>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</si>
  <si>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</si>
  <si>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</si>
  <si>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</si>
  <si>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</si>
  <si>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</si>
  <si>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</si>
  <si>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</si>
  <si>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</si>
  <si>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</si>
  <si>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</si>
  <si>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</si>
  <si>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</si>
  <si>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</si>
  <si>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</si>
  <si>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</si>
  <si>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</si>
  <si>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</si>
  <si>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</si>
  <si>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</si>
  <si>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</si>
  <si>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</si>
  <si>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</si>
  <si>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</si>
  <si>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</si>
  <si>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</si>
  <si>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</si>
  <si>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</si>
  <si>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</si>
  <si>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</si>
  <si>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</si>
  <si>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</si>
  <si>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</si>
  <si>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</si>
  <si>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</si>
  <si>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</si>
  <si>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</si>
  <si>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</si>
  <si>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</si>
  <si>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</si>
  <si>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</si>
  <si>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</si>
  <si>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</si>
  <si>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</si>
  <si>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</si>
  <si>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</si>
  <si>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</si>
  <si>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</si>
  <si>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</si>
  <si>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</si>
  <si>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</si>
  <si>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</si>
  <si>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</si>
  <si>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</si>
  <si>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</si>
  <si>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</si>
  <si>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</si>
  <si>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</si>
  <si>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</si>
  <si>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</si>
  <si>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</si>
  <si>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</si>
  <si>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</si>
  <si>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</si>
  <si>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</si>
  <si>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</si>
  <si>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</si>
  <si>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</si>
  <si>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</si>
  <si>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</si>
  <si>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</si>
  <si>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</si>
  <si>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</si>
  <si>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</si>
  <si>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</si>
  <si>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</si>
  <si>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</si>
  <si>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</si>
  <si>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</si>
  <si>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</si>
  <si>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</si>
  <si>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</si>
  <si>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</si>
  <si>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</si>
  <si>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</si>
  <si>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</si>
  <si>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</si>
  <si>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</si>
  <si>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</si>
  <si>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</si>
  <si>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</si>
  <si>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</si>
  <si>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</si>
  <si>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</si>
  <si>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</si>
  <si>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</si>
  <si>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</si>
  <si>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</si>
  <si>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</si>
  <si>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</si>
  <si>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</si>
  <si>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</si>
  <si>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</si>
  <si>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</si>
  <si>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</si>
  <si>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</si>
  <si>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</si>
  <si>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</si>
  <si>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</si>
  <si>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</si>
  <si>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</si>
  <si>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</si>
  <si>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</si>
  <si>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</si>
  <si>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</si>
  <si>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</si>
  <si>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</si>
  <si>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</si>
  <si>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</si>
  <si>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</si>
  <si>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</si>
  <si>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</si>
  <si>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</si>
  <si>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</si>
  <si>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</si>
  <si>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</si>
  <si>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</si>
  <si>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</si>
  <si>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</si>
  <si>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</si>
  <si>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</si>
  <si>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</si>
  <si>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</si>
  <si>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</si>
  <si>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</si>
  <si>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</si>
  <si>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</si>
  <si>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</si>
  <si>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</si>
  <si>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</si>
  <si>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</si>
  <si>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</si>
  <si>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</si>
  <si>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</si>
  <si>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</si>
  <si>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</si>
  <si>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</si>
  <si>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</si>
  <si>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</si>
  <si>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</si>
  <si>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</si>
  <si>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</si>
  <si>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</si>
  <si>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</si>
  <si>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</si>
  <si>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</si>
  <si>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</si>
  <si>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</si>
  <si>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</si>
  <si>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</si>
  <si>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</si>
  <si>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</si>
  <si>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</si>
  <si>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</si>
  <si>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</si>
  <si>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</si>
  <si>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</si>
  <si>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</si>
  <si>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</si>
  <si>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</si>
  <si>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</si>
  <si>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</si>
  <si>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</si>
  <si>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</si>
  <si>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</si>
  <si>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</si>
  <si>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</si>
  <si>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</si>
  <si>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</si>
  <si>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</si>
  <si>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</si>
  <si>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</si>
  <si>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</si>
  <si>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</si>
  <si>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</si>
  <si>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</si>
  <si>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</si>
  <si>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</si>
  <si>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</si>
  <si>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</si>
  <si>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</si>
  <si>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</si>
  <si>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</si>
  <si>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</si>
  <si>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</si>
  <si>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</si>
  <si>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</si>
  <si>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</si>
  <si>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</si>
  <si>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</si>
  <si>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</si>
  <si>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</si>
  <si>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</si>
  <si>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</si>
  <si>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</si>
  <si>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</si>
  <si>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</si>
  <si>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</si>
  <si>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</si>
  <si>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</si>
  <si>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</si>
  <si>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</si>
  <si>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</si>
  <si>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</si>
  <si>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</si>
  <si>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</si>
  <si>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</si>
  <si>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</si>
  <si>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</si>
  <si>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</si>
  <si>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</si>
  <si>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</si>
  <si>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</si>
  <si>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</si>
  <si>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</si>
  <si>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</si>
  <si>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</si>
  <si>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</si>
  <si>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</si>
  <si>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</si>
  <si>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</si>
  <si>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</si>
  <si>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</si>
  <si>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</si>
  <si>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</si>
  <si>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</si>
  <si>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</si>
  <si>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</si>
  <si>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</si>
  <si>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</si>
  <si>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</si>
  <si>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</si>
  <si>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</si>
  <si>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</si>
  <si>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</si>
  <si>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</si>
  <si>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</si>
  <si>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</si>
  <si>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</si>
  <si>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</si>
  <si>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</si>
  <si>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</si>
  <si>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</si>
  <si>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</si>
  <si>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</si>
  <si>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</si>
  <si>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</si>
  <si>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</si>
  <si>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</si>
  <si>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</si>
  <si>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</si>
  <si>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</si>
  <si>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</si>
  <si>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</si>
  <si>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</si>
  <si>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</si>
  <si>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</si>
  <si>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</si>
  <si>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</si>
  <si>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</si>
  <si>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</si>
  <si>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</si>
  <si>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</si>
  <si>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</si>
  <si>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</si>
  <si>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</si>
  <si>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</si>
  <si>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</si>
  <si>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</si>
  <si>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</si>
  <si>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</si>
  <si>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</si>
  <si>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</si>
  <si>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</si>
  <si>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</si>
  <si>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</si>
  <si>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</si>
  <si>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</si>
  <si>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</si>
  <si>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</si>
  <si>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</si>
  <si>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</si>
  <si>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</si>
  <si>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</si>
  <si>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</si>
  <si>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</si>
  <si>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</si>
  <si>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</si>
  <si>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</si>
  <si>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</si>
  <si>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</si>
  <si>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</si>
  <si>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</si>
  <si>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</si>
  <si>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</si>
  <si>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</si>
  <si>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</si>
  <si>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</si>
  <si>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</si>
  <si>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</si>
  <si>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</si>
  <si>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</si>
  <si>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</si>
  <si>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</si>
  <si>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</si>
  <si>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</si>
  <si>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</si>
  <si>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</si>
  <si>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</si>
  <si>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</si>
  <si>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</si>
  <si>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</si>
  <si>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</si>
  <si>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</si>
  <si>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</si>
  <si>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</si>
  <si>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</si>
  <si>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</si>
  <si>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</si>
  <si>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</si>
  <si>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</si>
  <si>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</si>
  <si>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</si>
  <si>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</si>
  <si>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</si>
  <si>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</si>
  <si>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</si>
  <si>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</si>
  <si>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</si>
  <si>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</si>
  <si>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</si>
  <si>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</si>
  <si>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</si>
  <si>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</si>
  <si>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</si>
  <si>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</si>
  <si>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</si>
  <si>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</si>
  <si>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</si>
  <si>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</si>
  <si>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</si>
  <si>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</si>
  <si>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</si>
  <si>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</si>
  <si>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</si>
  <si>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</si>
  <si>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</si>
  <si>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</si>
  <si>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</si>
  <si>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</si>
  <si>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</si>
  <si>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</si>
  <si>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</si>
  <si>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</si>
  <si>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</si>
  <si>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</si>
  <si>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</si>
  <si>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</si>
  <si>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</si>
  <si>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</si>
  <si>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</si>
  <si>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</si>
  <si>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</si>
  <si>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</si>
  <si>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</si>
  <si>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</si>
  <si>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</si>
  <si>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</si>
  <si>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</si>
  <si>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</si>
  <si>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</si>
  <si>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</si>
  <si>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</si>
  <si>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</si>
  <si>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</si>
  <si>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</si>
  <si>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</si>
  <si>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</si>
  <si>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</si>
  <si>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</si>
  <si>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</si>
  <si>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</si>
  <si>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</si>
  <si>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</si>
  <si>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</si>
  <si>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</si>
  <si>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</si>
  <si>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</si>
  <si>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</si>
  <si>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</si>
  <si>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</si>
  <si>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</si>
  <si>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</si>
  <si>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</si>
  <si>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</si>
  <si>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</si>
  <si>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</si>
  <si>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</si>
  <si>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</si>
  <si>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</si>
  <si>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</si>
  <si>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</si>
  <si>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</si>
  <si>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</si>
  <si>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</si>
  <si>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</si>
  <si>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</si>
  <si>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</si>
  <si>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</si>
  <si>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</si>
  <si>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</si>
  <si>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</si>
  <si>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</si>
  <si>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</si>
  <si>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</si>
  <si>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</si>
  <si>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</si>
  <si>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</si>
  <si>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</si>
  <si>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</si>
  <si>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</si>
  <si>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</si>
  <si>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</si>
  <si>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</si>
  <si>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</si>
  <si>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</si>
  <si>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</si>
  <si>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</si>
  <si>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</si>
  <si>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</si>
  <si>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</si>
  <si>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</si>
  <si>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</si>
  <si>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</si>
  <si>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</si>
  <si>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</si>
  <si>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</si>
  <si>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</si>
  <si>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</si>
  <si>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</si>
  <si>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</si>
  <si>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</si>
  <si>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</si>
  <si>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</si>
  <si>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</si>
  <si>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</si>
  <si>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</si>
  <si>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</si>
  <si>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</si>
  <si>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</si>
  <si>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</si>
  <si>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</si>
  <si>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</si>
  <si>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</si>
  <si>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</si>
  <si>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</si>
  <si>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</si>
  <si>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</si>
  <si>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</si>
  <si>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</si>
  <si>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</si>
  <si>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</si>
  <si>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</si>
  <si>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</si>
  <si>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</si>
  <si>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</si>
  <si>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</si>
  <si>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</si>
  <si>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</si>
  <si>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</si>
  <si>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</si>
  <si>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</si>
  <si>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</si>
  <si>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</si>
  <si>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</si>
  <si>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</si>
  <si>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</si>
  <si>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</si>
  <si>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</si>
  <si>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</si>
  <si>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</si>
  <si>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</si>
  <si>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</si>
  <si>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</si>
  <si>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</si>
  <si>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</si>
  <si>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</si>
  <si>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</si>
  <si>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</si>
  <si>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</si>
  <si>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</si>
  <si>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</si>
  <si>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</si>
  <si>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</si>
  <si>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</si>
  <si>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</si>
  <si>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</si>
  <si>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</si>
  <si>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</si>
  <si>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</si>
  <si>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</si>
  <si>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</si>
  <si>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</si>
  <si>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</si>
  <si>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</si>
  <si>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</si>
  <si>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</si>
  <si>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</si>
  <si>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</si>
  <si>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</si>
  <si>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</si>
  <si>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</si>
  <si>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</si>
  <si>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</si>
  <si>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</si>
  <si>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</si>
  <si>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</si>
  <si>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</si>
  <si>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</si>
  <si>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</si>
  <si>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</si>
  <si>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</si>
  <si>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</si>
  <si>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</si>
  <si>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</si>
  <si>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</si>
  <si>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</si>
  <si>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</si>
  <si>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</si>
  <si>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</si>
  <si>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</si>
  <si>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</si>
  <si>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</si>
  <si>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</si>
  <si>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</si>
  <si>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</si>
  <si>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</si>
  <si>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</si>
  <si>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</si>
  <si>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</si>
  <si>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</si>
  <si>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</si>
  <si>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</si>
  <si>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</si>
  <si>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</si>
  <si>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</si>
  <si>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</si>
  <si>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</si>
  <si>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</si>
  <si>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</si>
  <si>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</si>
  <si>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</si>
  <si>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</si>
  <si>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</si>
  <si>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</si>
  <si>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</si>
  <si>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</si>
  <si>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</si>
  <si>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</si>
  <si>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</si>
  <si>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</si>
  <si>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</si>
  <si>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</si>
  <si>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</si>
  <si>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</si>
  <si>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</si>
  <si>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</si>
  <si>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</si>
  <si>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</si>
  <si>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</si>
  <si>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</si>
  <si>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</si>
  <si>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</si>
  <si>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</si>
  <si>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</si>
  <si>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</si>
  <si>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</si>
  <si>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</si>
  <si>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</si>
  <si>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</si>
  <si>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</si>
  <si>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</si>
  <si>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</si>
  <si>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</si>
  <si>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</si>
  <si>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</si>
  <si>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</si>
  <si>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</si>
  <si>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</si>
  <si>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</si>
  <si>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</si>
  <si>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</si>
  <si>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</si>
  <si>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</si>
  <si>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</si>
  <si>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</si>
  <si>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</si>
  <si>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</si>
  <si>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</si>
  <si>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</si>
  <si>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</si>
  <si>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</si>
  <si>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</si>
  <si>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</si>
  <si>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</si>
  <si>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</si>
  <si>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</si>
  <si>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</si>
  <si>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</si>
  <si>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</si>
  <si>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</si>
  <si>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</si>
  <si>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</si>
  <si>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</si>
  <si>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</si>
  <si>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</si>
  <si>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</si>
  <si>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</si>
  <si>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</si>
  <si>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</si>
  <si>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</si>
  <si>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</si>
  <si>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</si>
  <si>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</si>
  <si>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</si>
  <si>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</si>
  <si>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</si>
  <si>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</si>
  <si>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</si>
  <si>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</si>
  <si>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</si>
  <si>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</si>
  <si>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</si>
  <si>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</si>
  <si>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</si>
  <si>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</si>
  <si>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</si>
  <si>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</si>
  <si>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</si>
  <si>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</si>
  <si>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</si>
  <si>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</si>
  <si>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</si>
  <si>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</si>
  <si>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</si>
  <si>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</si>
  <si>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</si>
  <si>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</si>
  <si>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</si>
  <si>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</si>
  <si>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</si>
  <si>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</si>
  <si>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</si>
  <si>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</si>
  <si>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</si>
  <si>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</si>
  <si>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</si>
  <si>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</si>
  <si>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</si>
  <si>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</si>
  <si>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</si>
  <si>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</si>
  <si>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</si>
  <si>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</si>
  <si>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</si>
  <si>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</si>
  <si>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</si>
  <si>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</si>
  <si>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</si>
  <si>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</si>
  <si>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</si>
  <si>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</si>
  <si>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</si>
  <si>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</si>
  <si>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</si>
  <si>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</si>
  <si>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</si>
  <si>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</si>
  <si>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</si>
  <si>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</si>
  <si>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</si>
  <si>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</si>
  <si>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</si>
  <si>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</si>
  <si>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</si>
  <si>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</si>
  <si>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</si>
  <si>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</si>
  <si>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</si>
  <si>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</si>
  <si>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</si>
  <si>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</si>
  <si>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</si>
  <si>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</si>
  <si>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</si>
  <si>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</si>
  <si>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</si>
  <si>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</si>
  <si>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</si>
  <si>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</si>
  <si>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</si>
  <si>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</si>
  <si>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</si>
  <si>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</si>
  <si>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</si>
  <si>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</si>
  <si>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</si>
  <si>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</si>
  <si>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</si>
  <si>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</si>
  <si>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</si>
  <si>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</si>
  <si>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</si>
  <si>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</si>
  <si>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</si>
  <si>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</si>
  <si>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</si>
  <si>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</si>
  <si>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</si>
  <si>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</si>
  <si>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</si>
  <si>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</si>
  <si>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</si>
  <si>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</si>
  <si>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</si>
  <si>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</si>
  <si>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</si>
  <si>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</si>
  <si>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</si>
  <si>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</si>
  <si>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</si>
  <si>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</si>
  <si>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</si>
  <si>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</si>
  <si>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</si>
  <si>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</si>
  <si>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</si>
  <si>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</si>
  <si>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</si>
  <si>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</si>
  <si>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</si>
  <si>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</si>
  <si>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</si>
  <si>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</si>
  <si>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</si>
  <si>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</si>
  <si>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</si>
  <si>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</si>
  <si>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</si>
  <si>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</si>
  <si>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</si>
  <si>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</si>
  <si>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</si>
  <si>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</si>
  <si>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</si>
  <si>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</si>
  <si>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</si>
  <si>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</si>
  <si>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</si>
  <si>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</si>
  <si>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</si>
  <si>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</si>
  <si>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</si>
  <si>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</si>
  <si>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</si>
  <si>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</si>
  <si>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</si>
  <si>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</si>
  <si>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</si>
  <si>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</si>
  <si>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</si>
  <si>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</si>
  <si>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</si>
  <si>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</si>
  <si>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</si>
  <si>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</si>
  <si>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</si>
  <si>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</si>
  <si>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</si>
  <si>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</si>
  <si>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</si>
  <si>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</si>
  <si>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</si>
  <si>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</si>
  <si>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</si>
  <si>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</si>
  <si>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</si>
  <si>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</si>
  <si>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</si>
  <si>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</si>
  <si>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</si>
  <si>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</si>
  <si>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</si>
  <si>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</si>
  <si>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</si>
  <si>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</si>
  <si>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</si>
  <si>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</si>
  <si>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</si>
  <si>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</si>
  <si>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</si>
  <si>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</si>
  <si>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</si>
  <si>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</si>
  <si>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</si>
  <si>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</si>
  <si>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</si>
  <si>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</si>
  <si>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</si>
  <si>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</si>
  <si>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</si>
  <si>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</si>
  <si>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</si>
  <si>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</si>
  <si>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</si>
  <si>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</si>
  <si>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</si>
  <si>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</si>
  <si>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</si>
  <si>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</si>
  <si>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</si>
  <si>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</si>
  <si>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</si>
  <si>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</si>
  <si>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</si>
  <si>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</si>
  <si>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</si>
  <si>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</si>
  <si>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</si>
  <si>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</si>
  <si>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</si>
  <si>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</si>
  <si>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</si>
  <si>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</si>
  <si>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</si>
  <si>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</si>
  <si>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</si>
  <si>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</si>
  <si>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</si>
  <si>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</si>
  <si>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</si>
  <si>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</si>
  <si>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</si>
  <si>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</si>
  <si>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</si>
  <si>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</si>
  <si>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</si>
  <si>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</si>
  <si>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</si>
  <si>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</si>
  <si>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</si>
  <si>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</si>
  <si>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</si>
  <si>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</si>
  <si>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</si>
  <si>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</si>
  <si>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</si>
  <si>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</si>
  <si>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</si>
  <si>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</si>
  <si>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</si>
  <si>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</si>
  <si>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</si>
  <si>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</si>
  <si>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</si>
  <si>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</si>
  <si>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</si>
  <si>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</si>
  <si>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</si>
  <si>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</si>
  <si>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</si>
  <si>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</si>
  <si>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</si>
  <si>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</si>
  <si>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</si>
  <si>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</si>
  <si>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</si>
  <si>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</si>
  <si>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</si>
  <si>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</si>
  <si>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</si>
  <si>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</si>
  <si>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</si>
  <si>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</si>
  <si>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</si>
  <si>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</si>
  <si>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</si>
  <si>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</si>
  <si>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</si>
  <si>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</si>
  <si>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</si>
  <si>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</si>
  <si>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</si>
  <si>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</si>
  <si>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</si>
  <si>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</si>
  <si>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</si>
  <si>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</si>
  <si>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</si>
  <si>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</si>
  <si>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</si>
  <si>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</si>
  <si>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</si>
  <si>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</si>
  <si>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</si>
  <si>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</si>
  <si>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</si>
  <si>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</si>
  <si>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</si>
  <si>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</si>
  <si>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</si>
  <si>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</si>
  <si>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</si>
  <si>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</si>
  <si>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</si>
  <si>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</si>
  <si>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</si>
  <si>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</si>
  <si>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</si>
  <si>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</si>
  <si>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</si>
  <si>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</si>
  <si>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</si>
  <si>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</si>
  <si>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</si>
  <si>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</si>
  <si>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</si>
  <si>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</si>
  <si>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</si>
  <si>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</si>
  <si>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</si>
  <si>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</si>
  <si>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</si>
  <si>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</si>
  <si>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</si>
  <si>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</si>
  <si>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</si>
  <si>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</si>
  <si>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</si>
  <si>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</si>
  <si>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</si>
  <si>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</si>
  <si>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</si>
  <si>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</si>
  <si>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</si>
  <si>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</si>
  <si>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</si>
  <si>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</si>
  <si>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</si>
  <si>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</si>
  <si>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</si>
  <si>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</si>
  <si>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</si>
  <si>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</si>
  <si>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</si>
  <si>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</si>
  <si>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</si>
  <si>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</si>
  <si>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</si>
  <si>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</si>
  <si>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</si>
  <si>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</si>
  <si>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</si>
  <si>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</si>
  <si>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</si>
  <si>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</si>
  <si>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</si>
  <si>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</si>
  <si>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</si>
  <si>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</si>
  <si>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</si>
  <si>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</si>
  <si>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</si>
  <si>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</si>
  <si>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</si>
  <si>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</si>
  <si>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</si>
  <si>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</si>
  <si>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</si>
  <si>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</si>
  <si>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</si>
  <si>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</si>
  <si>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</si>
  <si>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</si>
  <si>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</si>
  <si>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</si>
  <si>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</si>
  <si>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</si>
  <si>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</si>
  <si>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</si>
  <si>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</si>
  <si>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</si>
  <si>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</si>
  <si>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</si>
  <si>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</si>
  <si>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</si>
  <si>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</si>
  <si>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</si>
  <si>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</si>
  <si>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</si>
  <si>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</si>
  <si>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</si>
  <si>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</si>
  <si>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</si>
  <si>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</si>
  <si>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</si>
  <si>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</si>
  <si>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</si>
  <si>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</si>
  <si>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</si>
  <si>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</si>
  <si>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</si>
  <si>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</si>
  <si>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</si>
  <si>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</si>
  <si>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</si>
  <si>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</si>
  <si>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</si>
  <si>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</si>
  <si>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</si>
  <si>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</si>
  <si>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</si>
  <si>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</si>
  <si>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</si>
  <si>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</si>
  <si>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</si>
  <si>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</si>
  <si>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</si>
  <si>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</si>
  <si>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</si>
  <si>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</si>
  <si>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</si>
  <si>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</si>
  <si>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</si>
  <si>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</si>
  <si>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</si>
  <si>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</si>
  <si>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</si>
  <si>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</si>
  <si>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</si>
  <si>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</si>
  <si>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</si>
  <si>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</si>
  <si>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</si>
  <si>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</si>
  <si>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</si>
  <si>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</si>
  <si>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</si>
  <si>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</si>
  <si>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</si>
  <si>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</si>
  <si>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</si>
  <si>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</si>
  <si>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</si>
  <si>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</si>
  <si>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</si>
  <si>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</si>
  <si>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</si>
  <si>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</si>
  <si>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</si>
  <si>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</si>
  <si>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</si>
  <si>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</si>
  <si>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</si>
  <si>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</si>
  <si>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</si>
  <si>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</si>
  <si>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</si>
  <si>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</si>
  <si>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</si>
  <si>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</si>
  <si>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</si>
  <si>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</si>
  <si>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</si>
  <si>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</si>
  <si>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</si>
  <si>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</si>
  <si>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</si>
  <si>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</si>
  <si>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</si>
  <si>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</si>
  <si>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</si>
  <si>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</si>
  <si>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</si>
  <si>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</si>
  <si>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</si>
  <si>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</si>
  <si>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</si>
  <si>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</si>
  <si>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</si>
  <si>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</si>
  <si>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</si>
  <si>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</si>
  <si>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</si>
  <si>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</si>
  <si>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</si>
  <si>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</si>
  <si>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</si>
  <si>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</si>
  <si>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</si>
  <si>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</si>
  <si>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</si>
  <si>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</si>
  <si>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</si>
  <si>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</si>
  <si>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</si>
  <si>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</si>
  <si>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</si>
  <si>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</si>
  <si>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</si>
  <si>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</si>
  <si>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</si>
  <si>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</si>
  <si>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</si>
  <si>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</si>
  <si>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</si>
  <si>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</si>
  <si>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</si>
  <si>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</si>
  <si>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</si>
  <si>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</si>
  <si>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</si>
  <si>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</si>
  <si>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</si>
  <si>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</si>
  <si>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</si>
  <si>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</si>
  <si>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</si>
  <si>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</si>
  <si>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</si>
  <si>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</si>
  <si>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</si>
  <si>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</si>
  <si>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</si>
  <si>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</si>
  <si>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</si>
  <si>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</si>
  <si>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</si>
  <si>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</si>
  <si>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</si>
  <si>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</si>
  <si>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</si>
  <si>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</si>
  <si>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</si>
  <si>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</si>
  <si>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</si>
  <si>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</si>
  <si>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</si>
  <si>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</si>
  <si>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</si>
  <si>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</si>
  <si>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</si>
  <si>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</si>
  <si>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</si>
  <si>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</si>
  <si>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</si>
  <si>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</si>
  <si>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</si>
  <si>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</si>
  <si>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</si>
  <si>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</si>
  <si>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</si>
  <si>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</si>
  <si>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</si>
  <si>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</si>
  <si>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</si>
  <si>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</si>
  <si>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</si>
  <si>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</si>
  <si>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</si>
  <si>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</si>
  <si>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</si>
  <si>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</si>
  <si>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</si>
  <si>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</si>
  <si>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</si>
  <si>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</si>
  <si>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</si>
  <si>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</si>
  <si>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</si>
  <si>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</si>
  <si>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</si>
  <si>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</si>
  <si>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</si>
  <si>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</si>
  <si>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</si>
  <si>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</si>
  <si>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</si>
  <si>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</si>
  <si>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</si>
  <si>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</si>
  <si>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</si>
  <si>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</si>
  <si>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</si>
  <si>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</si>
  <si>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</si>
  <si>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</si>
  <si>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</si>
  <si>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</si>
  <si>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</si>
  <si>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</si>
  <si>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</si>
  <si>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</si>
  <si>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</si>
  <si>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</si>
  <si>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</si>
  <si>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</si>
  <si>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</si>
  <si>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</si>
  <si>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</si>
  <si>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</si>
  <si>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</si>
  <si>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</si>
  <si>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</si>
  <si>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</si>
  <si>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</si>
  <si>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</si>
  <si>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</si>
  <si>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</si>
  <si>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</si>
  <si>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</si>
  <si>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</si>
  <si>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</si>
  <si>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</si>
  <si>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</si>
  <si>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</si>
  <si>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</si>
  <si>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</si>
  <si>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</si>
  <si>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</si>
  <si>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</si>
  <si>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</si>
  <si>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</si>
  <si>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</si>
  <si>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</si>
  <si>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</si>
  <si>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</si>
  <si>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</si>
  <si>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</si>
  <si>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</si>
  <si>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</si>
  <si>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</si>
  <si>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</si>
  <si>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</si>
  <si>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</si>
  <si>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</si>
  <si>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</si>
  <si>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</si>
  <si>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</si>
  <si>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</si>
  <si>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</si>
  <si>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</si>
  <si>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</si>
  <si>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</si>
  <si>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</si>
  <si>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</si>
  <si>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</si>
  <si>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</si>
  <si>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</si>
  <si>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</si>
  <si>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</si>
  <si>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</si>
  <si>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</si>
  <si>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</si>
  <si>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</si>
  <si>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</si>
  <si>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</si>
  <si>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</si>
  <si>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</si>
  <si>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</si>
  <si>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</si>
  <si>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</si>
  <si>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</si>
  <si>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</si>
  <si>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</si>
  <si>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</si>
  <si>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</si>
  <si>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</si>
  <si>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</si>
  <si>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</si>
  <si>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</si>
  <si>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</si>
  <si>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</si>
  <si>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</si>
  <si>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</si>
  <si>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</si>
  <si>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</si>
  <si>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</si>
  <si>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</si>
  <si>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</si>
  <si>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</si>
  <si>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</si>
  <si>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</si>
  <si>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</si>
  <si>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</si>
  <si>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</si>
  <si>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</si>
  <si>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</si>
  <si>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</si>
  <si>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</si>
  <si>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</si>
  <si>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</si>
  <si>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</si>
  <si>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</si>
  <si>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</si>
  <si>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</si>
  <si>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</si>
  <si>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</si>
  <si>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</si>
  <si>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</si>
  <si>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</si>
  <si>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</si>
  <si>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</si>
  <si>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</si>
  <si>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</si>
  <si>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</si>
  <si>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</si>
  <si>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</si>
  <si>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</si>
  <si>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</si>
  <si>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</si>
  <si>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</si>
  <si>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</si>
  <si>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</si>
  <si>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</si>
  <si>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</si>
  <si>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</si>
  <si>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</si>
  <si>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</si>
  <si>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</si>
  <si>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</si>
  <si>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</si>
  <si>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</si>
  <si>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</si>
  <si>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</si>
  <si>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</si>
  <si>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</si>
  <si>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</si>
  <si>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</si>
  <si>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</si>
  <si>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</si>
  <si>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</si>
  <si>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</si>
  <si>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</si>
  <si>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</si>
  <si>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</si>
  <si>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</si>
  <si>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</si>
  <si>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</si>
  <si>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</si>
  <si>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</si>
  <si>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</si>
  <si>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</si>
  <si>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</si>
  <si>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</si>
  <si>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</si>
  <si>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</si>
  <si>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</si>
  <si>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</si>
  <si>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</si>
  <si>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</si>
  <si>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</si>
  <si>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</si>
  <si>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</si>
  <si>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</si>
  <si>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</si>
  <si>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</si>
  <si>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</si>
  <si>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</si>
  <si>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</si>
  <si>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</si>
  <si>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</si>
  <si>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</si>
  <si>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</si>
  <si>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</si>
  <si>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</si>
  <si>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</si>
  <si>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</si>
  <si>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</si>
  <si>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</si>
  <si>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</si>
  <si>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</si>
  <si>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</si>
  <si>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</si>
  <si>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</si>
  <si>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</si>
  <si>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</si>
  <si>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</si>
  <si>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</si>
  <si>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</si>
  <si>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</si>
  <si>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</si>
  <si>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</si>
  <si>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</si>
  <si>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</si>
  <si>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</si>
  <si>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</si>
  <si>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</si>
  <si>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</si>
  <si>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</si>
  <si>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</si>
  <si>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</si>
  <si>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</si>
  <si>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</si>
  <si>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</si>
  <si>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</si>
  <si>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</si>
  <si>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</si>
  <si>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</si>
  <si>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</si>
  <si>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</si>
  <si>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</si>
  <si>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</si>
  <si>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</si>
  <si>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</si>
  <si>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</si>
  <si>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</si>
  <si>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</si>
  <si>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</si>
  <si>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</si>
  <si>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</si>
  <si>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</si>
  <si>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</si>
  <si>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</si>
  <si>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</si>
  <si>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</si>
  <si>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</si>
  <si>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</si>
  <si>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</si>
  <si>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</si>
  <si>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</si>
  <si>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</si>
  <si>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</si>
  <si>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</si>
  <si>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</si>
  <si>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</si>
  <si>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</si>
  <si>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</si>
  <si>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</si>
  <si>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</si>
  <si>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</si>
  <si>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</si>
  <si>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</si>
  <si>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</si>
  <si>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</si>
  <si>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</si>
  <si>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</si>
  <si>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</si>
  <si>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</si>
  <si>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</si>
  <si>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</si>
  <si>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</si>
  <si>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</si>
  <si>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</si>
  <si>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</si>
  <si>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</si>
  <si>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</si>
  <si>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</si>
  <si>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</si>
  <si>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</si>
  <si>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</si>
  <si>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</si>
  <si>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</si>
  <si>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</si>
  <si>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</si>
  <si>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</si>
  <si>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</si>
  <si>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</si>
  <si>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</si>
  <si>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</si>
  <si>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</si>
  <si>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</si>
  <si>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</si>
  <si>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</si>
  <si>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</si>
  <si>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</si>
  <si>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</si>
  <si>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</si>
  <si>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</si>
  <si>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</si>
  <si>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</si>
  <si>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</si>
  <si>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</si>
  <si>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</si>
  <si>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</si>
  <si>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</si>
  <si>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</si>
  <si>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</si>
  <si>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</si>
  <si>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</si>
  <si>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</si>
  <si>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</si>
  <si>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</si>
  <si>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</si>
  <si>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</si>
  <si>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</si>
  <si>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</si>
  <si>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</si>
  <si>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</si>
  <si>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</si>
  <si>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</si>
  <si>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</si>
  <si>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</si>
  <si>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</si>
  <si>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</si>
  <si>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</si>
  <si>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</si>
  <si>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</si>
  <si>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</si>
  <si>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</si>
  <si>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</si>
  <si>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</si>
  <si>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</si>
  <si>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</si>
  <si>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</si>
  <si>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</si>
  <si>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</si>
  <si>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</si>
  <si>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</si>
  <si>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</si>
  <si>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</si>
  <si>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</si>
  <si>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</si>
  <si>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</si>
  <si>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</si>
  <si>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</si>
  <si>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</si>
  <si>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</si>
  <si>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</si>
  <si>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</si>
  <si>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</si>
  <si>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</si>
  <si>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</si>
  <si>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</si>
  <si>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</si>
  <si>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</si>
  <si>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</si>
  <si>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</si>
  <si>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</si>
  <si>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</si>
  <si>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</si>
  <si>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</si>
  <si>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</si>
  <si>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</si>
  <si>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</si>
  <si>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</si>
  <si>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</si>
  <si>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</si>
  <si>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</si>
  <si>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</si>
  <si>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</si>
  <si>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</si>
  <si>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</si>
  <si>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</si>
  <si>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</si>
  <si>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</si>
  <si>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</si>
  <si>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</si>
  <si>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</si>
  <si>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</si>
  <si>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</si>
  <si>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</si>
  <si>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</si>
  <si>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</si>
  <si>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</si>
  <si>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</si>
  <si>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</si>
  <si>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</si>
  <si>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</si>
  <si>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</si>
  <si>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</si>
  <si>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</si>
  <si>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</si>
  <si>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</si>
  <si>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</si>
  <si>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</si>
  <si>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</si>
  <si>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</si>
  <si>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</si>
  <si>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</si>
  <si>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</si>
  <si>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</si>
  <si>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</si>
  <si>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</si>
  <si>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</si>
  <si>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</si>
  <si>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</si>
  <si>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</si>
  <si>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</si>
  <si>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</si>
  <si>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</si>
  <si>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</si>
  <si>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</si>
  <si>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</si>
  <si>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</si>
  <si>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</si>
  <si>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</si>
  <si>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</si>
  <si>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</si>
  <si>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</si>
  <si>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</si>
  <si>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</si>
  <si>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</si>
  <si>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</si>
  <si>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</si>
  <si>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</si>
  <si>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</si>
  <si>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</si>
  <si>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</si>
  <si>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</si>
  <si>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</si>
  <si>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</si>
  <si>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</si>
  <si>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</si>
  <si>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</si>
  <si>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</si>
  <si>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</si>
  <si>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</si>
  <si>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</si>
  <si>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</si>
  <si>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</si>
  <si>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</si>
  <si>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</si>
  <si>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</si>
  <si>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</si>
  <si>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</si>
  <si>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</si>
  <si>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</si>
  <si>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</si>
  <si>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</si>
  <si>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</si>
  <si>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</si>
  <si>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</si>
  <si>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</si>
  <si>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</si>
  <si>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</si>
  <si>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</si>
  <si>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</si>
  <si>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</si>
  <si>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</si>
  <si>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</si>
  <si>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</si>
  <si>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</si>
  <si>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</si>
  <si>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</si>
  <si>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</si>
  <si>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</si>
  <si>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</si>
  <si>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</si>
  <si>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</si>
  <si>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</si>
  <si>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</si>
  <si>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</si>
  <si>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</si>
  <si>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</si>
  <si>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</si>
  <si>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</si>
  <si>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</si>
  <si>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</si>
  <si>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</si>
  <si>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</si>
  <si>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</si>
  <si>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</si>
  <si>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</si>
  <si>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</si>
  <si>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</si>
  <si>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</si>
  <si>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</si>
  <si>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</si>
  <si>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</si>
  <si>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</si>
  <si>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</si>
  <si>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</si>
  <si>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</si>
  <si>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</si>
  <si>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</si>
  <si>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</si>
  <si>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</si>
  <si>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</si>
  <si>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</si>
  <si>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</si>
  <si>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</si>
  <si>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</si>
  <si>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</si>
  <si>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</si>
  <si>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</si>
  <si>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</si>
  <si>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</si>
  <si>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</si>
  <si>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</si>
  <si>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</si>
  <si>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</si>
  <si>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</si>
  <si>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</si>
  <si>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</si>
  <si>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</si>
  <si>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</si>
  <si>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</si>
  <si>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</si>
  <si>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</si>
  <si>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</si>
  <si>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</si>
  <si>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</si>
  <si>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</si>
  <si>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</si>
  <si>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</si>
  <si>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</si>
  <si>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</si>
  <si>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</si>
  <si>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</si>
  <si>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</si>
  <si>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</si>
  <si>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</si>
  <si>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</si>
  <si>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</si>
  <si>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</si>
  <si>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</si>
  <si>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</si>
  <si>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</si>
  <si>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</si>
  <si>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</si>
  <si>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</si>
  <si>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</si>
  <si>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</si>
  <si>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</si>
  <si>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</si>
  <si>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</si>
  <si>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</si>
  <si>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</si>
  <si>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</si>
  <si>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</si>
  <si>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</si>
  <si>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</si>
  <si>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</si>
  <si>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</si>
  <si>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</si>
  <si>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</si>
  <si>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</si>
  <si>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</si>
  <si>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</si>
  <si>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</si>
  <si>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</si>
  <si>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</si>
  <si>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</si>
  <si>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</si>
  <si>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</si>
  <si>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</si>
  <si>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</si>
  <si>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</si>
  <si>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</si>
  <si>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</si>
  <si>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</si>
  <si>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</si>
  <si>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</si>
  <si>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</si>
  <si>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</si>
  <si>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</si>
  <si>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</si>
  <si>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</si>
  <si>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</si>
  <si>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</si>
  <si>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</si>
  <si>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</si>
  <si>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</si>
  <si>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</si>
  <si>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</si>
  <si>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</si>
  <si>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</si>
  <si>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</si>
  <si>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</si>
  <si>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</si>
  <si>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</si>
  <si>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</si>
  <si>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</si>
  <si>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</si>
  <si>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</si>
  <si>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</si>
  <si>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</si>
  <si>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</si>
  <si>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</si>
  <si>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</si>
  <si>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</si>
  <si>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</si>
  <si>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</si>
  <si>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</si>
  <si>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</si>
  <si>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</si>
  <si>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</si>
  <si>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</si>
  <si>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</si>
  <si>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</si>
  <si>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</si>
  <si>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</si>
  <si>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</si>
  <si>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</si>
  <si>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</si>
  <si>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</si>
  <si>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</si>
  <si>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</si>
  <si>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</si>
  <si>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</si>
  <si>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</si>
  <si>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</si>
  <si>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</si>
  <si>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</si>
  <si>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</si>
  <si>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</si>
  <si>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</si>
  <si>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</si>
  <si>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</si>
  <si>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</si>
  <si>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</si>
  <si>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</si>
  <si>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</si>
  <si>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</si>
  <si>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</si>
  <si>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</si>
  <si>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</si>
  <si>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</si>
  <si>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</si>
  <si>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</si>
  <si>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</si>
  <si>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</si>
  <si>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</si>
  <si>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</si>
  <si>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</si>
  <si>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</si>
  <si>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</si>
  <si>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</si>
  <si>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</si>
  <si>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</si>
  <si>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</si>
  <si>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</si>
  <si>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</si>
  <si>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</si>
  <si>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</si>
  <si>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</si>
  <si>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</si>
  <si>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</si>
  <si>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</si>
  <si>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</si>
  <si>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</si>
  <si>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</si>
  <si>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</si>
  <si>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</si>
  <si>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</si>
  <si>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</si>
  <si>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</si>
  <si>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</si>
  <si>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</si>
  <si>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</si>
  <si>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</si>
  <si>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</si>
  <si>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</si>
  <si>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</si>
  <si>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</si>
  <si>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</si>
  <si>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</si>
  <si>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</si>
  <si>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</si>
  <si>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</si>
  <si>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</si>
  <si>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</si>
  <si>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</si>
  <si>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</si>
  <si>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</si>
  <si>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</si>
  <si>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</si>
  <si>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</si>
  <si>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</si>
  <si>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</si>
  <si>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</si>
  <si>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</si>
  <si>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</si>
  <si>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</si>
  <si>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</si>
  <si>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</si>
  <si>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</si>
  <si>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</si>
  <si>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</si>
  <si>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</si>
  <si>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</si>
  <si>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</si>
  <si>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</si>
  <si>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</si>
  <si>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</si>
  <si>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</si>
  <si>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</si>
  <si>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</si>
  <si>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</si>
  <si>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</si>
  <si>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</si>
  <si>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</si>
  <si>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</si>
  <si>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</si>
  <si>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</si>
  <si>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</si>
  <si>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</si>
  <si>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</si>
  <si>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</si>
  <si>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</si>
  <si>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</si>
  <si>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</si>
  <si>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</si>
  <si>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</si>
  <si>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</si>
  <si>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</si>
  <si>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</si>
  <si>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</si>
  <si>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</si>
  <si>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</si>
  <si>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</si>
  <si>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</si>
  <si>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</si>
  <si>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</si>
  <si>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</si>
  <si>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</si>
  <si>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</si>
  <si>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</si>
  <si>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</si>
  <si>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</si>
  <si>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</si>
  <si>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</si>
  <si>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</si>
  <si>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</si>
  <si>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</si>
  <si>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</si>
  <si>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</si>
  <si>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</si>
  <si>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</si>
  <si>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</si>
  <si>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</si>
  <si>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</si>
  <si>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</si>
  <si>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</si>
  <si>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</si>
  <si>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</si>
  <si>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</si>
  <si>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</si>
  <si>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</si>
  <si>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</si>
  <si>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</si>
  <si>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</si>
  <si>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</si>
  <si>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</si>
  <si>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</si>
  <si>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</si>
  <si>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</si>
  <si>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</si>
  <si>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</si>
  <si>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</si>
  <si>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</si>
  <si>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</si>
  <si>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</si>
  <si>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</si>
  <si>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</si>
  <si>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</si>
  <si>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</si>
  <si>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</si>
  <si>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</si>
  <si>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</si>
  <si>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</si>
  <si>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</si>
  <si>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</si>
  <si>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</si>
  <si>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</si>
  <si>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</si>
  <si>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</si>
  <si>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</si>
  <si>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</si>
  <si>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</si>
  <si>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</si>
  <si>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</si>
  <si>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</si>
  <si>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</si>
  <si>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</si>
  <si>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</si>
  <si>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</si>
  <si>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</si>
  <si>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</si>
  <si>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</si>
  <si>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</si>
  <si>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</si>
  <si>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</si>
  <si>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</si>
  <si>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</si>
  <si>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</si>
  <si>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</si>
  <si>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</si>
  <si>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</si>
  <si>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</si>
  <si>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</si>
  <si>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</si>
  <si>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</si>
  <si>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</si>
  <si>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</si>
  <si>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</si>
  <si>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</si>
  <si>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</si>
  <si>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</si>
  <si>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</si>
  <si>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</si>
  <si>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</si>
  <si>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</si>
  <si>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</si>
  <si>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</si>
  <si>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</si>
  <si>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</si>
  <si>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</si>
  <si>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</si>
  <si>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</si>
  <si>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</si>
  <si>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</si>
  <si>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</si>
  <si>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</si>
  <si>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</si>
  <si>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</si>
  <si>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</si>
  <si>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</si>
  <si>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</si>
  <si>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</si>
  <si>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</si>
  <si>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</si>
  <si>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</si>
  <si>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</si>
  <si>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</si>
  <si>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</si>
  <si>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</si>
  <si>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</si>
  <si>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</si>
  <si>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</si>
  <si>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</si>
  <si>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</si>
  <si>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</si>
  <si>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</si>
  <si>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</si>
  <si>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</si>
  <si>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</si>
  <si>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</si>
  <si>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</si>
  <si>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</si>
  <si>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</si>
  <si>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</si>
  <si>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</si>
  <si>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</si>
  <si>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</si>
  <si>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</si>
  <si>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</si>
  <si>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</si>
  <si>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</si>
  <si>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</si>
  <si>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</si>
  <si>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</si>
  <si>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</si>
  <si>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</si>
  <si>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</si>
  <si>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</si>
  <si>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</si>
  <si>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</si>
  <si>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</si>
  <si>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</si>
  <si>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</si>
  <si>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</si>
  <si>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</si>
  <si>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</si>
  <si>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</si>
  <si>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</si>
  <si>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</si>
  <si>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</si>
  <si>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</si>
  <si>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</si>
  <si>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</si>
  <si>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</si>
  <si>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</si>
  <si>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</si>
  <si>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</si>
  <si>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</si>
  <si>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</si>
  <si>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</si>
  <si>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</si>
  <si>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</si>
  <si>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</si>
  <si>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</si>
  <si>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</si>
  <si>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</si>
  <si>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</si>
  <si>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</si>
  <si>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</si>
  <si>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</si>
  <si>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</si>
  <si>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</si>
  <si>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</si>
  <si>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</si>
  <si>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</si>
  <si>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</si>
  <si>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</si>
  <si>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</si>
  <si>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</si>
  <si>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</si>
  <si>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</si>
  <si>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</si>
  <si>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</si>
  <si>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</si>
  <si>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</si>
  <si>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</si>
  <si>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</si>
  <si>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</si>
  <si>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</si>
  <si>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</si>
  <si>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</si>
  <si>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</si>
  <si>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</si>
  <si>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</si>
  <si>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</si>
  <si>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</si>
  <si>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</si>
  <si>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</si>
  <si>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</si>
  <si>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</si>
  <si>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</si>
  <si>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</si>
  <si>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</si>
  <si>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</si>
  <si>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</si>
  <si>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</si>
  <si>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</si>
  <si>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</si>
  <si>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</si>
  <si>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</si>
  <si>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</si>
  <si>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</si>
  <si>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</si>
  <si>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</si>
  <si>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</si>
  <si>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</si>
  <si>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</si>
  <si>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</si>
  <si>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</si>
  <si>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</si>
  <si>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</si>
  <si>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</si>
  <si>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</si>
  <si>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</si>
  <si>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</si>
  <si>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</si>
  <si>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</si>
  <si>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</si>
  <si>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</si>
  <si>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</si>
  <si>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</si>
  <si>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</si>
  <si>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</si>
  <si>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</si>
  <si>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</si>
  <si>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</si>
  <si>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</si>
  <si>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</si>
  <si>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</si>
  <si>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</si>
  <si>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</si>
  <si>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</si>
  <si>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</si>
  <si>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</si>
  <si>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</si>
  <si>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</si>
  <si>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</si>
  <si>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</si>
  <si>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</si>
  <si>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</si>
  <si>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</si>
  <si>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</si>
  <si>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</si>
  <si>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</si>
  <si>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</si>
  <si>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</si>
  <si>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</si>
  <si>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</si>
  <si>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</si>
  <si>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</si>
  <si>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</si>
  <si>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</si>
  <si>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</si>
  <si>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</si>
  <si>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</si>
  <si>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</si>
  <si>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</si>
  <si>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</si>
  <si>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</si>
  <si>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</si>
  <si>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</si>
  <si>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</si>
  <si>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</si>
  <si>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</si>
  <si>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</si>
  <si>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</si>
  <si>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</si>
  <si>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</si>
  <si>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</si>
  <si>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</si>
  <si>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</si>
  <si>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</si>
  <si>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</si>
  <si>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</si>
  <si>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</si>
  <si>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</si>
  <si>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</si>
  <si>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</si>
  <si>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</si>
  <si>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</si>
  <si>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</si>
  <si>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</si>
  <si>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</si>
  <si>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</si>
  <si>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</si>
  <si>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</si>
  <si>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</si>
  <si>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</si>
  <si>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</si>
  <si>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</si>
  <si>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</si>
  <si>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</si>
  <si>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</si>
  <si>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</si>
  <si>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</si>
  <si>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</si>
  <si>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</si>
  <si>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</si>
  <si>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</si>
  <si>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</si>
  <si>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</si>
  <si>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</si>
  <si>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</si>
  <si>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</si>
  <si>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</si>
  <si>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</si>
  <si>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</si>
  <si>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</si>
  <si>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</si>
  <si>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</si>
  <si>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</si>
  <si>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</si>
  <si>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</si>
  <si>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</si>
  <si>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</si>
  <si>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</si>
  <si>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</si>
  <si>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</si>
  <si>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</si>
  <si>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</si>
  <si>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</si>
  <si>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</si>
  <si>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</si>
  <si>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</si>
  <si>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</si>
  <si>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</si>
  <si>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</si>
  <si>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</si>
  <si>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</si>
  <si>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</si>
  <si>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</si>
  <si>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</si>
  <si>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</si>
  <si>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</si>
  <si>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</si>
  <si>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</si>
  <si>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</si>
  <si>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</si>
  <si>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</si>
  <si>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</si>
  <si>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</si>
  <si>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</si>
  <si>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</si>
  <si>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</si>
  <si>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</si>
  <si>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</si>
  <si>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</si>
  <si>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</si>
  <si>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</si>
  <si>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</si>
  <si>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</si>
  <si>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</si>
  <si>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</si>
  <si>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</si>
  <si>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</si>
  <si>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</si>
  <si>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</si>
  <si>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</si>
  <si>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</si>
  <si>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</si>
  <si>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</si>
  <si>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</si>
  <si>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</si>
  <si>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</si>
  <si>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</si>
  <si>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</si>
  <si>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</si>
  <si>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</si>
  <si>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</si>
  <si>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</si>
  <si>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</si>
  <si>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</si>
  <si>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</si>
  <si>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</si>
  <si>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</si>
  <si>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</si>
  <si>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</si>
  <si>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</si>
  <si>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</si>
  <si>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</si>
  <si>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</si>
  <si>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</si>
  <si>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</si>
  <si>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</si>
  <si>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</si>
  <si>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</si>
  <si>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</si>
  <si>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</si>
  <si>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</si>
  <si>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</si>
  <si>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</si>
  <si>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</si>
  <si>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</si>
  <si>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</si>
  <si>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</si>
  <si>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</si>
  <si>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</si>
  <si>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</si>
  <si>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</si>
  <si>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</si>
  <si>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</si>
  <si>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</si>
  <si>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</si>
  <si>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</si>
  <si>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</si>
  <si>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</si>
  <si>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</si>
  <si>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</si>
  <si>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</si>
  <si>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</si>
  <si>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</si>
  <si>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</si>
  <si>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</si>
  <si>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</si>
  <si>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</si>
  <si>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</si>
  <si>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</si>
  <si>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</si>
  <si>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</si>
  <si>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</si>
  <si>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</si>
  <si>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</si>
  <si>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</si>
  <si>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</si>
  <si>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</si>
  <si>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</si>
  <si>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</si>
  <si>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</si>
  <si>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</si>
  <si>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</si>
  <si>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</si>
  <si>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</si>
  <si>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</si>
  <si>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</si>
  <si>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</si>
  <si>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</si>
  <si>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</si>
  <si>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</si>
  <si>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</si>
  <si>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</si>
  <si>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</si>
  <si>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</si>
  <si>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</si>
  <si>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</si>
  <si>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</si>
  <si>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</si>
  <si>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</si>
  <si>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</si>
  <si>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</si>
  <si>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</si>
  <si>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</si>
  <si>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</si>
  <si>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</si>
  <si>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</si>
  <si>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</si>
  <si>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</si>
  <si>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</si>
  <si>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</si>
  <si>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</si>
  <si>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</si>
  <si>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</si>
  <si>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</si>
  <si>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</si>
  <si>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</si>
  <si>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</si>
  <si>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</si>
  <si>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</si>
  <si>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</si>
  <si>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</si>
  <si>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</si>
  <si>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</si>
  <si>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</si>
  <si>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</si>
  <si>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</si>
  <si>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</si>
  <si>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</si>
  <si>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</si>
  <si>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</si>
  <si>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</si>
  <si>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</si>
  <si>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</si>
  <si>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</si>
  <si>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</si>
  <si>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</si>
  <si>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</si>
  <si>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</si>
  <si>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</si>
  <si>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</si>
  <si>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</si>
  <si>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</si>
  <si>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</si>
  <si>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</si>
  <si>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</si>
  <si>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</si>
  <si>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</si>
  <si>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</si>
  <si>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</si>
  <si>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</si>
  <si>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</si>
  <si>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</si>
  <si>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</si>
  <si>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</si>
  <si>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</si>
  <si>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</si>
  <si>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</si>
  <si>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</si>
  <si>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</si>
  <si>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</si>
  <si>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</si>
  <si>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</si>
  <si>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</si>
  <si>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</si>
  <si>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</si>
  <si>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</si>
  <si>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</si>
  <si>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</si>
  <si>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</si>
  <si>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</si>
  <si>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</si>
  <si>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</si>
  <si>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</si>
  <si>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</si>
  <si>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</si>
  <si>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</si>
  <si>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</si>
  <si>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</si>
  <si>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</si>
  <si>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</si>
  <si>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</si>
  <si>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</si>
  <si>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</si>
  <si>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</si>
  <si>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</si>
  <si>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</si>
  <si>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</si>
  <si>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</si>
  <si>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</si>
  <si>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</si>
  <si>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</si>
  <si>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</si>
  <si>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</si>
  <si>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</si>
  <si>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</si>
  <si>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</si>
  <si>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</si>
  <si>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</si>
  <si>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</si>
  <si>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</si>
  <si>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</si>
  <si>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</si>
  <si>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</si>
  <si>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</si>
  <si>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</si>
  <si>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</si>
  <si>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</si>
  <si>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</si>
  <si>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</si>
  <si>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</si>
  <si>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</si>
  <si>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</si>
  <si>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</si>
  <si>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</si>
  <si>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</si>
  <si>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</si>
  <si>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</si>
  <si>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</si>
  <si>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</si>
  <si>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</si>
  <si>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</si>
  <si>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</si>
  <si>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</si>
  <si>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</si>
  <si>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</si>
  <si>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</si>
  <si>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</si>
  <si>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</si>
  <si>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</si>
  <si>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</si>
  <si>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</si>
  <si>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</si>
  <si>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</si>
  <si>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</si>
  <si>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</si>
  <si>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</si>
  <si>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</si>
  <si>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</si>
  <si>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</si>
  <si>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</si>
  <si>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</si>
  <si>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</si>
  <si>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</si>
  <si>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</si>
  <si>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</si>
  <si>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</si>
  <si>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</si>
  <si>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</si>
  <si>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</si>
  <si>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</si>
  <si>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</si>
  <si>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</si>
  <si>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</si>
  <si>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</si>
  <si>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</si>
  <si>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</si>
  <si>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</si>
  <si>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</si>
  <si>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</si>
  <si>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</si>
  <si>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</si>
  <si>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</si>
  <si>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</si>
  <si>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</si>
  <si>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</si>
  <si>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</si>
  <si>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</si>
  <si>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</si>
  <si>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</si>
  <si>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</si>
  <si>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</si>
  <si>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</si>
  <si>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</si>
  <si>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</si>
  <si>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</si>
  <si>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</si>
  <si>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</si>
  <si>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</si>
  <si>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</si>
  <si>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</si>
  <si>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</si>
  <si>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</si>
  <si>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</si>
  <si>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</si>
  <si>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</si>
  <si>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</si>
  <si>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</si>
  <si>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</si>
  <si>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</si>
  <si>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</si>
  <si>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</si>
  <si>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</si>
  <si>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</si>
  <si>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</si>
  <si>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</si>
  <si>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</si>
  <si>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</si>
  <si>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</si>
  <si>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</si>
  <si>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</si>
  <si>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</si>
  <si>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</si>
  <si>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</si>
  <si>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</si>
  <si>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</si>
  <si>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</si>
  <si>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</si>
  <si>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</si>
  <si>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</si>
  <si>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</si>
  <si>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</si>
  <si>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</si>
  <si>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</si>
  <si>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</si>
  <si>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</si>
  <si>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</si>
  <si>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</si>
  <si>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</si>
  <si>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</si>
  <si>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</si>
  <si>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</si>
  <si>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</si>
  <si>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</si>
  <si>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</si>
  <si>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</si>
  <si>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</si>
  <si>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</si>
  <si>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</si>
  <si>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</si>
  <si>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</si>
  <si>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</si>
  <si>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</si>
  <si>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</si>
  <si>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</si>
  <si>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</si>
  <si>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</si>
  <si>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</si>
  <si>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</si>
  <si>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</si>
  <si>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</si>
  <si>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</si>
  <si>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</si>
  <si>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</si>
  <si>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</si>
  <si>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</si>
  <si>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</si>
  <si>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</si>
  <si>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</si>
  <si>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</si>
  <si>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</si>
  <si>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</si>
  <si>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</si>
  <si>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</si>
  <si>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</si>
  <si>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</si>
  <si>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</si>
  <si>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</si>
  <si>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</si>
  <si>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</si>
  <si>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</si>
  <si>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</si>
  <si>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</si>
  <si>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</si>
  <si>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</si>
  <si>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</si>
  <si>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</si>
  <si>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</si>
  <si>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</si>
  <si>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</si>
  <si>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</si>
  <si>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</si>
  <si>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</si>
  <si>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</si>
  <si>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</si>
  <si>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</si>
  <si>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</si>
  <si>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</si>
  <si>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</si>
  <si>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</si>
  <si>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</si>
  <si>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</si>
  <si>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</si>
  <si>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</si>
  <si>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</si>
  <si>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</si>
  <si>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</si>
  <si>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</si>
  <si>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</si>
  <si>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</si>
  <si>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</si>
  <si>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</si>
  <si>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</si>
  <si>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</si>
  <si>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</si>
  <si>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</si>
  <si>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</si>
  <si>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</si>
  <si>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</si>
  <si>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</si>
  <si>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</si>
  <si>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</si>
  <si>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</si>
  <si>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</si>
  <si>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</si>
  <si>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</si>
  <si>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</si>
  <si>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</si>
  <si>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</si>
  <si>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</si>
  <si>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</si>
  <si>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</si>
  <si>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</si>
  <si>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</si>
  <si>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</si>
  <si>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</si>
  <si>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</si>
  <si>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</si>
  <si>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</si>
  <si>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</si>
  <si>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</si>
  <si>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</si>
  <si>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</si>
  <si>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</si>
  <si>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</si>
  <si>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</si>
  <si>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</si>
  <si>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</si>
  <si>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</si>
  <si>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</si>
  <si>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</si>
  <si>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</si>
  <si>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</si>
  <si>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</si>
  <si>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</si>
  <si>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</si>
  <si>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</si>
  <si>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</si>
  <si>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</si>
  <si>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</si>
  <si>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</si>
  <si>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</si>
  <si>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</si>
  <si>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</si>
  <si>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</si>
  <si>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</si>
  <si>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</si>
  <si>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</si>
  <si>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</si>
  <si>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</si>
  <si>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</si>
  <si>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</si>
  <si>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</si>
  <si>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</si>
  <si>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</si>
  <si>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</si>
  <si>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</si>
  <si>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</si>
  <si>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</si>
  <si>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</si>
  <si>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</si>
  <si>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</si>
  <si>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</si>
  <si>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</si>
  <si>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</si>
  <si>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</si>
  <si>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</si>
  <si>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</si>
  <si>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</si>
  <si>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</si>
  <si>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</si>
  <si>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</si>
  <si>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</si>
  <si>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</si>
  <si>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</si>
  <si>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</si>
  <si>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</si>
  <si>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</si>
  <si>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</si>
  <si>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</si>
  <si>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</si>
  <si>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</si>
  <si>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</si>
  <si>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</si>
  <si>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</si>
  <si>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</si>
  <si>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</si>
  <si>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</si>
  <si>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</si>
  <si>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</si>
  <si>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</si>
  <si>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</si>
  <si>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</si>
  <si>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</si>
  <si>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</si>
  <si>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</si>
  <si>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</si>
  <si>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</si>
  <si>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</si>
  <si>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</si>
  <si>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</si>
  <si>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</si>
  <si>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</si>
  <si>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</si>
  <si>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</si>
  <si>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</si>
  <si>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</si>
  <si>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</si>
  <si>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</si>
  <si>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</si>
  <si>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</si>
  <si>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</si>
  <si>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</si>
  <si>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</si>
  <si>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</si>
  <si>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</si>
  <si>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</si>
  <si>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</si>
  <si>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</si>
  <si>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</si>
  <si>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</si>
  <si>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</si>
  <si>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</si>
  <si>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</si>
  <si>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</si>
  <si>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</si>
  <si>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</si>
  <si>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</si>
  <si>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</si>
  <si>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</si>
  <si>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</si>
  <si>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</si>
  <si>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</si>
  <si>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</si>
  <si>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</si>
  <si>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</si>
  <si>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</si>
  <si>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</si>
  <si>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</si>
  <si>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</si>
  <si>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</si>
  <si>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</si>
  <si>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</si>
  <si>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</si>
  <si>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</si>
  <si>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</si>
  <si>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</si>
  <si>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</si>
  <si>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</si>
  <si>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</si>
  <si>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</si>
  <si>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</si>
  <si>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</si>
  <si>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</si>
  <si>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</si>
  <si>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</si>
  <si>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</si>
  <si>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</si>
  <si>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</si>
  <si>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</si>
  <si>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</si>
  <si>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</si>
  <si>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</si>
  <si>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</si>
  <si>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</si>
  <si>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</si>
  <si>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</si>
  <si>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</si>
  <si>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</si>
  <si>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</si>
  <si>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</si>
  <si>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</si>
  <si>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</si>
  <si>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</si>
  <si>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</si>
  <si>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</si>
  <si>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</si>
  <si>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</si>
  <si>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</si>
  <si>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</si>
  <si>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</si>
  <si>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</si>
  <si>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</si>
  <si>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</si>
  <si>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</si>
  <si>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</si>
  <si>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</si>
  <si>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</si>
  <si>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</si>
  <si>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</si>
  <si>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</si>
  <si>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</si>
  <si>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</si>
  <si>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</si>
  <si>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</si>
  <si>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</si>
  <si>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</si>
  <si>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</si>
  <si>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</si>
  <si>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</si>
  <si>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</si>
  <si>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</si>
  <si>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</si>
  <si>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</si>
  <si>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</si>
  <si>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</si>
  <si>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</si>
  <si>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</si>
  <si>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</si>
  <si>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</si>
  <si>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</si>
  <si>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</si>
  <si>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</si>
  <si>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</si>
  <si>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</si>
  <si>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</si>
  <si>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</si>
  <si>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</si>
  <si>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</si>
  <si>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</si>
  <si>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</si>
  <si>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</si>
  <si>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</si>
  <si>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</si>
  <si>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</si>
  <si>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</si>
  <si>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</si>
  <si>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</si>
  <si>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</si>
  <si>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</si>
  <si>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</si>
  <si>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</si>
  <si>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</si>
  <si>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</si>
  <si>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</si>
  <si>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</si>
  <si>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</si>
  <si>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</si>
  <si>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</si>
  <si>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</si>
  <si>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</si>
  <si>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</si>
  <si>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</si>
  <si>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</si>
  <si>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</si>
  <si>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</si>
  <si>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</si>
  <si>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</si>
  <si>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</si>
  <si>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</si>
  <si>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</si>
  <si>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</si>
  <si>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</si>
  <si>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</si>
  <si>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</si>
  <si>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</si>
  <si>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</si>
  <si>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</si>
  <si>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</si>
  <si>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</si>
  <si>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</si>
  <si>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</si>
  <si>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</si>
  <si>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</si>
  <si>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</si>
  <si>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</si>
  <si>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</si>
  <si>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</si>
  <si>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</si>
  <si>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</si>
  <si>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</si>
  <si>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</si>
  <si>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</si>
  <si>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</si>
  <si>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</si>
  <si>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</si>
  <si>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</si>
  <si>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</si>
  <si>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</si>
  <si>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</si>
  <si>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</si>
  <si>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</si>
  <si>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</si>
  <si>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</si>
  <si>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</si>
  <si>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</si>
  <si>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</si>
  <si>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</si>
  <si>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</si>
  <si>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</si>
  <si>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</si>
  <si>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</si>
  <si>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</si>
  <si>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</si>
  <si>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</si>
  <si>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</si>
  <si>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</si>
  <si>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</si>
  <si>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</si>
  <si>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</si>
  <si>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</si>
  <si>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</si>
  <si>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</si>
  <si>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</si>
  <si>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</si>
  <si>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</si>
  <si>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</si>
  <si>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</si>
  <si>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</si>
  <si>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</si>
  <si>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</si>
  <si>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</si>
  <si>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</si>
  <si>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</si>
  <si>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</si>
  <si>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</si>
  <si>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</si>
  <si>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</si>
  <si>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</si>
  <si>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</si>
  <si>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</si>
  <si>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</si>
  <si>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</si>
  <si>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</si>
  <si>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</si>
  <si>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</si>
  <si>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</si>
  <si>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</si>
  <si>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</si>
  <si>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</si>
  <si>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</si>
  <si>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</si>
  <si>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</si>
  <si>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</si>
  <si>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</si>
  <si>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</si>
  <si>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</si>
  <si>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</si>
  <si>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</si>
  <si>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</si>
  <si>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</si>
  <si>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</si>
  <si>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</si>
  <si>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</si>
  <si>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</si>
  <si>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</si>
  <si>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</si>
  <si>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</si>
  <si>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</si>
  <si>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</si>
  <si>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</si>
  <si>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</si>
  <si>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</si>
  <si>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</si>
  <si>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</si>
  <si>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</si>
  <si>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</si>
  <si>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</si>
  <si>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</si>
  <si>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</si>
  <si>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</si>
  <si>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</si>
  <si>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</si>
  <si>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</si>
  <si>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</si>
  <si>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</si>
  <si>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</si>
  <si>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</si>
  <si>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</si>
  <si>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</si>
  <si>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</si>
  <si>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</si>
  <si>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</si>
  <si>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</si>
  <si>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</si>
  <si>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</si>
  <si>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</si>
  <si>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</si>
  <si>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</si>
  <si>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</si>
  <si>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</si>
  <si>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</si>
  <si>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</si>
  <si>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</si>
  <si>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</si>
  <si>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</si>
  <si>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</si>
  <si>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</si>
  <si>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</si>
  <si>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</si>
  <si>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</si>
  <si>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</si>
  <si>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</si>
  <si>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</si>
  <si>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</si>
  <si>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</si>
  <si>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</si>
  <si>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</si>
  <si>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</si>
  <si>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</si>
  <si>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</si>
  <si>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</si>
  <si>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</si>
  <si>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</si>
  <si>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</si>
  <si>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</si>
  <si>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</si>
  <si>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</si>
  <si>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</si>
  <si>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</si>
  <si>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</si>
  <si>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</si>
  <si>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</si>
  <si>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</si>
  <si>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</si>
  <si>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</si>
  <si>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</si>
  <si>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</si>
  <si>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</si>
  <si>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</si>
  <si>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</si>
  <si>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</si>
  <si>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</si>
  <si>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</si>
  <si>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</si>
  <si>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</si>
  <si>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</si>
  <si>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</si>
  <si>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</si>
  <si>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</si>
  <si>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</si>
  <si>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</si>
  <si>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</si>
  <si>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</si>
  <si>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</si>
  <si>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</si>
  <si>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</si>
  <si>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</si>
  <si>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</si>
  <si>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</si>
  <si>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</si>
  <si>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</si>
  <si>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</si>
  <si>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</si>
  <si>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</si>
  <si>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</si>
  <si>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</si>
  <si>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</si>
  <si>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</si>
  <si>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</si>
  <si>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</si>
  <si>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</si>
  <si>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</si>
  <si>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</si>
  <si>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</si>
  <si>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</si>
  <si>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</si>
  <si>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</si>
  <si>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</si>
  <si>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</si>
  <si>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</si>
  <si>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</si>
  <si>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</si>
  <si>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</si>
  <si>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</si>
  <si>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</si>
  <si>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</si>
  <si>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</si>
  <si>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</si>
  <si>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</si>
  <si>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</si>
  <si>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</si>
  <si>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</si>
  <si>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</si>
  <si>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</si>
  <si>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</si>
  <si>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</si>
  <si>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</si>
  <si>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</si>
  <si>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</si>
  <si>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</si>
  <si>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</si>
  <si>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</si>
  <si>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</si>
  <si>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</si>
  <si>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</si>
  <si>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</si>
  <si>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</si>
  <si>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</si>
  <si>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</si>
  <si>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</si>
  <si>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</si>
  <si>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</si>
  <si>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</si>
  <si>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</si>
  <si>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</si>
  <si>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</si>
  <si>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</si>
  <si>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</si>
  <si>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</si>
  <si>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</si>
  <si>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</si>
  <si>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</si>
  <si>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</si>
  <si>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</si>
  <si>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</si>
  <si>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</si>
  <si>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</si>
  <si>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</si>
  <si>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</si>
  <si>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</si>
  <si>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</si>
  <si>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</si>
  <si>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</si>
  <si>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</si>
  <si>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</si>
  <si>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</si>
  <si>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</si>
  <si>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</si>
  <si>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</si>
  <si>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</si>
  <si>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</si>
  <si>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</si>
  <si>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</si>
  <si>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</si>
  <si>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</si>
  <si>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</si>
  <si>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</si>
  <si>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</si>
  <si>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</si>
  <si>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</si>
  <si>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</si>
  <si>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</si>
  <si>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</si>
  <si>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</si>
  <si>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</si>
  <si>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</si>
  <si>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</si>
  <si>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</si>
  <si>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</si>
  <si>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</si>
  <si>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</si>
  <si>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</si>
  <si>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</si>
  <si>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</si>
  <si>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</si>
  <si>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</si>
  <si>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</si>
  <si>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</si>
  <si>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</si>
  <si>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</si>
  <si>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</si>
  <si>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</si>
  <si>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</si>
  <si>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</si>
  <si>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</si>
  <si>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</si>
  <si>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</si>
  <si>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</si>
  <si>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</si>
  <si>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</si>
  <si>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</si>
  <si>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</si>
  <si>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</si>
  <si>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</si>
  <si>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</si>
  <si>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</si>
  <si>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</si>
  <si>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</si>
  <si>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</si>
  <si>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</si>
  <si>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</si>
  <si>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</si>
  <si>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</si>
  <si>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</si>
  <si>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</si>
  <si>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</si>
  <si>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</si>
  <si>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</si>
  <si>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</si>
  <si>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</si>
  <si>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</si>
  <si>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</si>
  <si>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</si>
  <si>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</si>
  <si>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</si>
  <si>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</si>
  <si>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</si>
  <si>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</si>
  <si>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</si>
  <si>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</si>
  <si>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</si>
  <si>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</si>
  <si>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</si>
  <si>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</si>
  <si>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</si>
  <si>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</si>
  <si>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</si>
  <si>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</si>
  <si>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</si>
  <si>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</si>
  <si>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</si>
  <si>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</si>
  <si>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</si>
  <si>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</si>
  <si>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</si>
  <si>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</si>
  <si>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</si>
  <si>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</si>
  <si>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</si>
  <si>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</si>
  <si>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</si>
  <si>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</si>
  <si>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</si>
  <si>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</si>
  <si>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</si>
  <si>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</si>
  <si>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</si>
  <si>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</si>
  <si>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</si>
  <si>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</si>
  <si>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</si>
  <si>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</si>
  <si>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</si>
  <si>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</si>
  <si>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</si>
  <si>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</si>
  <si>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</si>
  <si>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</si>
  <si>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</si>
  <si>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</si>
  <si>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</si>
  <si>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</si>
  <si>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</si>
  <si>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</si>
  <si>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</si>
  <si>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</si>
  <si>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</si>
  <si>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</si>
  <si>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</si>
  <si>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</si>
  <si>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</si>
  <si>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</si>
  <si>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</si>
  <si>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</si>
  <si>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</si>
  <si>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</si>
  <si>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</si>
  <si>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</si>
  <si>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</si>
  <si>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</si>
  <si>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</si>
  <si>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</si>
  <si>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</si>
  <si>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</si>
  <si>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</si>
  <si>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</si>
  <si>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</si>
  <si>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</si>
  <si>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</si>
  <si>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</si>
  <si>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</si>
  <si>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</si>
  <si>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</si>
  <si>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</si>
  <si>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</si>
  <si>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</si>
  <si>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</si>
  <si>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</si>
  <si>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</si>
  <si>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</si>
  <si>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</si>
  <si>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</si>
  <si>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</si>
  <si>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</si>
  <si>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</si>
  <si>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</si>
  <si>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</si>
  <si>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</si>
  <si>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</si>
  <si>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</si>
  <si>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</si>
  <si>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</si>
  <si>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</si>
  <si>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</si>
  <si>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</si>
  <si>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</si>
  <si>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</si>
  <si>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</si>
  <si>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</si>
  <si>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</si>
  <si>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</si>
  <si>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</si>
  <si>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</si>
  <si>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</si>
  <si>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</si>
  <si>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</si>
  <si>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</si>
  <si>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</si>
  <si>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</si>
  <si>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</si>
  <si>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</si>
  <si>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</si>
  <si>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</si>
  <si>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</si>
  <si>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</si>
  <si>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</si>
  <si>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</si>
  <si>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</si>
  <si>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</si>
  <si>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</si>
  <si>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</si>
  <si>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</si>
  <si>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</si>
  <si>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</si>
  <si>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</si>
  <si>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</si>
  <si>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</si>
  <si>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</si>
  <si>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</si>
  <si>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</si>
  <si>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</si>
  <si>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</si>
  <si>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</si>
  <si>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</si>
  <si>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</si>
  <si>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</si>
  <si>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</si>
  <si>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</si>
  <si>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</si>
  <si>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</si>
  <si>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</si>
  <si>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</si>
  <si>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</si>
  <si>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</si>
  <si>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</si>
  <si>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</si>
  <si>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</si>
  <si>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</si>
  <si>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</si>
  <si>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</si>
  <si>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</si>
  <si>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</si>
  <si>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</si>
  <si>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</si>
  <si>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</si>
  <si>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</si>
  <si>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</si>
  <si>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</si>
  <si>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</si>
  <si>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</si>
  <si>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</si>
  <si>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</si>
  <si>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</si>
  <si>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</si>
  <si>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</si>
  <si>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</si>
  <si>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</si>
  <si>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</si>
  <si>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</si>
  <si>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</si>
  <si>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</si>
  <si>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</si>
  <si>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</si>
  <si>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</si>
  <si>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</si>
  <si>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</si>
  <si>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</si>
  <si>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</si>
  <si>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</si>
  <si>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</si>
  <si>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</si>
  <si>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</si>
  <si>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</si>
  <si>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</si>
  <si>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</si>
  <si>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</si>
  <si>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</si>
  <si>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</si>
  <si>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</si>
  <si>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</si>
  <si>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</si>
  <si>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</si>
  <si>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</si>
  <si>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</si>
  <si>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</si>
  <si>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</si>
  <si>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</si>
  <si>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</si>
  <si>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</si>
  <si>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</si>
  <si>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</si>
  <si>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</si>
  <si>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</si>
  <si>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</si>
  <si>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</si>
  <si>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</si>
  <si>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</si>
  <si>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</si>
  <si>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</si>
  <si>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</si>
  <si>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</si>
  <si>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</si>
  <si>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</si>
  <si>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</si>
  <si>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</si>
  <si>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</si>
  <si>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</si>
  <si>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</si>
  <si>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</si>
  <si>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</si>
  <si>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</si>
  <si>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</si>
  <si>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</si>
  <si>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</si>
  <si>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</si>
  <si>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</si>
  <si>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</si>
  <si>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</si>
  <si>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</si>
  <si>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</si>
  <si>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</si>
  <si>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</si>
  <si>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</si>
  <si>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</si>
  <si>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</si>
  <si>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</si>
  <si>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</si>
  <si>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</si>
  <si>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</si>
  <si>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</si>
  <si>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</si>
  <si>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</si>
  <si>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</si>
  <si>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</si>
  <si>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</si>
  <si>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</si>
  <si>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</si>
  <si>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</si>
  <si>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</si>
  <si>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</si>
  <si>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</si>
  <si>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</si>
  <si>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</si>
  <si>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</si>
  <si>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</si>
  <si>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</si>
  <si>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</si>
  <si>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</si>
  <si>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</si>
  <si>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</si>
  <si>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</si>
  <si>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</si>
  <si>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</si>
  <si>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</si>
  <si>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</si>
  <si>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</si>
  <si>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</si>
  <si>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</si>
  <si>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</si>
  <si>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</si>
  <si>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</si>
  <si>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</si>
  <si>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</si>
  <si>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</si>
  <si>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</si>
  <si>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</si>
  <si>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</si>
  <si>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</si>
  <si>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</si>
  <si>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</si>
  <si>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</si>
  <si>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</si>
  <si>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</si>
  <si>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</si>
  <si>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</si>
  <si>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</si>
  <si>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</si>
  <si>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</si>
  <si>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</si>
  <si>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</si>
  <si>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</si>
  <si>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</si>
  <si>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</si>
  <si>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</si>
  <si>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</si>
  <si>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</si>
  <si>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</si>
  <si>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</si>
  <si>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</si>
  <si>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</si>
  <si>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</si>
  <si>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</si>
  <si>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</si>
  <si>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</si>
  <si>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</si>
  <si>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</si>
  <si>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</si>
  <si>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</si>
  <si>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</si>
  <si>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</si>
  <si>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</si>
  <si>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</si>
  <si>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</si>
  <si>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</si>
  <si>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</si>
  <si>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</si>
  <si>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</si>
  <si>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</si>
  <si>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</si>
  <si>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</si>
  <si>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</si>
  <si>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</si>
  <si>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</si>
  <si>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</si>
  <si>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</si>
  <si>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</si>
  <si>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</si>
  <si>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</si>
  <si>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</si>
  <si>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</si>
  <si>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</si>
  <si>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</si>
  <si>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</si>
  <si>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</si>
  <si>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</si>
  <si>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</si>
  <si>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</si>
  <si>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</si>
  <si>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</si>
  <si>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</si>
  <si>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</si>
  <si>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</si>
  <si>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</si>
  <si>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</si>
  <si>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</si>
  <si>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</si>
  <si>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</si>
  <si>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</si>
  <si>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</si>
  <si>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</si>
  <si>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</si>
  <si>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</si>
  <si>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</si>
  <si>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</si>
  <si>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</si>
  <si>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</si>
  <si>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</si>
  <si>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</si>
  <si>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</si>
  <si>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</si>
  <si>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</si>
  <si>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</si>
  <si>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</si>
  <si>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</si>
  <si>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</si>
  <si>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</si>
  <si>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</si>
  <si>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</si>
  <si>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</si>
  <si>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</si>
  <si>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</si>
  <si>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</si>
  <si>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</si>
  <si>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</si>
  <si>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</si>
  <si>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</si>
  <si>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</si>
  <si>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</si>
  <si>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</si>
  <si>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</si>
  <si>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</si>
  <si>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</si>
  <si>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</si>
  <si>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</si>
  <si>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</si>
  <si>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</si>
  <si>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</si>
  <si>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</si>
  <si>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</si>
  <si>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</si>
  <si>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</si>
  <si>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</si>
  <si>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</si>
  <si>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</si>
  <si>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</si>
  <si>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</si>
  <si>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</si>
  <si>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</si>
  <si>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</si>
  <si>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</si>
  <si>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</si>
  <si>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</si>
  <si>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</si>
  <si>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</si>
  <si>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</si>
  <si>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</si>
  <si>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</si>
  <si>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</si>
  <si>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</si>
  <si>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</si>
  <si>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</si>
  <si>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</si>
  <si>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</si>
  <si>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</si>
  <si>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</si>
  <si>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</si>
  <si>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</si>
  <si>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</si>
  <si>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</si>
  <si>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</si>
  <si>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</si>
  <si>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</si>
  <si>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</si>
  <si>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</si>
  <si>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</si>
  <si>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</si>
  <si>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</si>
  <si>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</si>
  <si>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</si>
  <si>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</si>
  <si>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</si>
  <si>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</si>
  <si>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</si>
  <si>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</si>
  <si>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</si>
  <si>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</si>
  <si>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</si>
  <si>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</si>
  <si>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</si>
  <si>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</si>
  <si>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</si>
  <si>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</si>
  <si>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</si>
  <si>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</si>
  <si>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</si>
  <si>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</si>
  <si>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</si>
  <si>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</si>
  <si>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</si>
  <si>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</si>
  <si>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</si>
  <si>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</si>
  <si>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</si>
  <si>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</si>
  <si>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</si>
  <si>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</si>
  <si>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</si>
  <si>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</si>
  <si>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</si>
  <si>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</si>
  <si>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</si>
  <si>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</si>
  <si>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</si>
  <si>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</si>
  <si>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</si>
  <si>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</si>
  <si>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</si>
  <si>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</si>
  <si>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</si>
  <si>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</si>
  <si>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</si>
  <si>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</si>
  <si>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</si>
  <si>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</si>
  <si>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</si>
  <si>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</si>
  <si>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</si>
  <si>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</si>
  <si>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</si>
  <si>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</si>
  <si>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</si>
  <si>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</si>
  <si>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</si>
  <si>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</si>
  <si>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</si>
  <si>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</si>
  <si>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</si>
  <si>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</si>
  <si>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</si>
  <si>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</si>
  <si>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</si>
  <si>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</si>
  <si>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</si>
  <si>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</si>
  <si>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</si>
  <si>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</si>
  <si>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</si>
  <si>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</si>
  <si>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</si>
  <si>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</si>
  <si>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</si>
  <si>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</si>
  <si>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</si>
  <si>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</si>
  <si>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</si>
  <si>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</si>
  <si>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</si>
  <si>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</si>
  <si>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</si>
  <si>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</si>
  <si>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</si>
  <si>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</si>
  <si>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</si>
  <si>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</si>
  <si>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</si>
  <si>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</si>
  <si>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</si>
  <si>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</si>
  <si>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</si>
  <si>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</si>
  <si>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</si>
  <si>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</si>
  <si>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</si>
  <si>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</si>
  <si>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</si>
  <si>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</si>
  <si>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</si>
  <si>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</si>
  <si>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</si>
  <si>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</si>
  <si>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</si>
  <si>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</si>
  <si>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</si>
  <si>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</si>
  <si>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</si>
  <si>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</si>
  <si>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</si>
  <si>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</si>
  <si>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</si>
  <si>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</si>
  <si>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</si>
  <si>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</si>
  <si>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</si>
  <si>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</si>
  <si>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</si>
  <si>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</si>
  <si>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</si>
  <si>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</si>
  <si>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</si>
  <si>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</si>
  <si>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</si>
  <si>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</si>
  <si>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</si>
  <si>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</si>
  <si>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</si>
  <si>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</si>
  <si>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</si>
  <si>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</si>
  <si>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</si>
  <si>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</si>
  <si>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</si>
  <si>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</si>
  <si>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</si>
  <si>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</si>
  <si>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</si>
  <si>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</si>
  <si>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</si>
  <si>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</si>
  <si>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</si>
  <si>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</si>
  <si>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</si>
  <si>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</si>
  <si>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</si>
  <si>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</si>
  <si>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</si>
  <si>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</si>
  <si>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</si>
  <si>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</si>
  <si>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</si>
  <si>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</si>
  <si>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</si>
  <si>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</si>
  <si>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</si>
  <si>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</si>
  <si>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</si>
  <si>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</si>
  <si>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</si>
  <si>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</si>
  <si>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</si>
  <si>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</si>
  <si>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</si>
  <si>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</si>
  <si>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</si>
  <si>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</si>
  <si>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</si>
  <si>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</si>
  <si>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</si>
  <si>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</si>
  <si>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</si>
  <si>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</si>
  <si>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</si>
  <si>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</si>
  <si>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</si>
  <si>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</si>
  <si>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</si>
  <si>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</si>
  <si>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</si>
  <si>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</si>
  <si>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</si>
  <si>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</si>
  <si>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</si>
  <si>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</si>
  <si>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</si>
  <si>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</si>
  <si>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</si>
  <si>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</si>
  <si>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</si>
  <si>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</si>
  <si>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</si>
  <si>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</si>
  <si>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</si>
  <si>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</si>
  <si>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</si>
  <si>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</si>
  <si>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</si>
  <si>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</si>
  <si>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</si>
  <si>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</si>
  <si>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</si>
  <si>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</si>
  <si>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</si>
  <si>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</si>
  <si>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</si>
  <si>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</si>
  <si>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</si>
  <si>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</si>
  <si>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</si>
  <si>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</si>
  <si>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</si>
  <si>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</si>
  <si>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</si>
  <si>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</si>
  <si>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</si>
  <si>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</si>
  <si>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</si>
  <si>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</si>
  <si>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</si>
  <si>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</si>
  <si>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</si>
  <si>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</si>
  <si>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</si>
  <si>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</si>
  <si>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</si>
  <si>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</si>
  <si>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</si>
  <si>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</si>
  <si>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</si>
  <si>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</si>
  <si>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</si>
  <si>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</si>
  <si>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</si>
  <si>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</si>
  <si>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</si>
  <si>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</si>
  <si>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</si>
  <si>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</si>
  <si>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</si>
  <si>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</si>
  <si>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</si>
  <si>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</si>
  <si>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</si>
  <si>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</si>
  <si>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</si>
  <si>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</si>
  <si>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</si>
  <si>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</si>
  <si>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</si>
  <si>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</si>
  <si>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</si>
  <si>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</si>
  <si>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</si>
  <si>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</si>
  <si>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</si>
  <si>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</si>
  <si>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</si>
  <si>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</si>
  <si>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</si>
  <si>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</si>
  <si>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</si>
  <si>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</si>
  <si>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</si>
  <si>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</si>
  <si>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</si>
  <si>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</si>
  <si>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</si>
  <si>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</si>
  <si>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</si>
  <si>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</si>
  <si>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</si>
  <si>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</si>
  <si>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</si>
  <si>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</si>
  <si>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</si>
  <si>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</si>
  <si>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</si>
  <si>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</si>
  <si>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</si>
  <si>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</si>
  <si>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</si>
  <si>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</si>
  <si>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</si>
  <si>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</si>
  <si>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</si>
  <si>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</si>
  <si>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</si>
  <si>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</si>
  <si>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</si>
  <si>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</si>
  <si>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</si>
  <si>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</si>
  <si>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</si>
  <si>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</si>
  <si>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</si>
  <si>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</si>
  <si>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</si>
  <si>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</si>
  <si>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</si>
  <si>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</si>
  <si>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</si>
  <si>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</si>
  <si>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</si>
  <si>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</si>
  <si>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</si>
  <si>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</si>
  <si>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</si>
  <si>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</si>
  <si>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</si>
  <si>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</si>
  <si>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</si>
  <si>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</si>
  <si>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</si>
  <si>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</si>
  <si>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</si>
  <si>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</si>
  <si>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</si>
  <si>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</si>
  <si>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</si>
  <si>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</si>
  <si>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</si>
  <si>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</si>
  <si>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</si>
  <si>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</si>
  <si>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</si>
  <si>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</si>
  <si>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</si>
  <si>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</si>
  <si>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</si>
  <si>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</si>
  <si>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</si>
  <si>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</si>
  <si>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</si>
  <si>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</si>
  <si>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</si>
  <si>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</si>
  <si>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</si>
  <si>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</si>
  <si>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</si>
  <si>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</si>
  <si>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</si>
  <si>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</si>
  <si>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</si>
  <si>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</si>
  <si>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</si>
  <si>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</si>
  <si>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</si>
  <si>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</si>
  <si>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</si>
  <si>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</si>
  <si>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</si>
  <si>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</si>
  <si>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</si>
  <si>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</si>
  <si>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</si>
  <si>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</si>
  <si>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</si>
  <si>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</si>
  <si>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</si>
  <si>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</si>
  <si>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</si>
  <si>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</si>
  <si>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</si>
  <si>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</si>
  <si>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</si>
  <si>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</si>
  <si>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</si>
  <si>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</si>
  <si>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</si>
  <si>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</si>
  <si>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</si>
  <si>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</si>
  <si>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</si>
  <si>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</si>
  <si>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</si>
  <si>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</si>
  <si>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</si>
  <si>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</si>
  <si>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</si>
  <si>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</si>
  <si>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</si>
  <si>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</si>
  <si>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</si>
  <si>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</si>
  <si>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</si>
  <si>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</si>
  <si>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</si>
  <si>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</si>
  <si>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</si>
  <si>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</si>
  <si>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</si>
  <si>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</si>
  <si>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</si>
  <si>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</si>
  <si>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</si>
  <si>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</si>
  <si>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</si>
  <si>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</si>
  <si>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</si>
  <si>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</si>
  <si>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</si>
  <si>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</si>
  <si>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</si>
  <si>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</si>
  <si>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</si>
  <si>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</si>
  <si>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</si>
  <si>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</si>
  <si>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</si>
  <si>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</si>
  <si>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</si>
  <si>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</si>
  <si>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</si>
  <si>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</si>
  <si>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</si>
  <si>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</si>
  <si>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</si>
  <si>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</si>
  <si>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</si>
  <si>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</si>
  <si>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</si>
  <si>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</si>
  <si>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</si>
  <si>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</si>
  <si>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</si>
  <si>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</si>
  <si>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</si>
  <si>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</si>
  <si>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</si>
  <si>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</si>
  <si>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</si>
  <si>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</si>
  <si>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</si>
  <si>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</si>
  <si>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</si>
  <si>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</si>
  <si>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</si>
  <si>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</si>
  <si>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</si>
  <si>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</si>
  <si>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</si>
  <si>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</si>
  <si>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</si>
  <si>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</si>
  <si>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</si>
  <si>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</si>
  <si>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</si>
  <si>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</si>
  <si>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</si>
  <si>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</si>
  <si>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</si>
  <si>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</si>
  <si>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</si>
  <si>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</si>
  <si>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</si>
  <si>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</si>
  <si>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</si>
  <si>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</si>
  <si>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</si>
  <si>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</si>
  <si>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</si>
  <si>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</si>
  <si>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</si>
  <si>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</si>
  <si>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</si>
  <si>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</si>
  <si>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</si>
  <si>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</si>
  <si>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</si>
  <si>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</si>
  <si>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</si>
  <si>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</si>
  <si>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</si>
  <si>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</si>
  <si>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</si>
  <si>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</si>
  <si>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</si>
  <si>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</si>
  <si>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</si>
  <si>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</si>
  <si>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</si>
  <si>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</si>
  <si>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</si>
  <si>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</si>
  <si>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</si>
  <si>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</si>
  <si>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</si>
  <si>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</si>
  <si>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</si>
  <si>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</si>
  <si>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</si>
  <si>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</si>
  <si>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</si>
  <si>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</si>
  <si>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</si>
  <si>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</si>
  <si>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</si>
  <si>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</si>
  <si>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</si>
  <si>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</si>
  <si>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</si>
  <si>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</si>
  <si>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</si>
  <si>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</si>
  <si>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</si>
  <si>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</si>
  <si>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</si>
  <si>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</si>
  <si>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</si>
  <si>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</si>
  <si>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</si>
  <si>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</si>
  <si>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</si>
  <si>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</si>
  <si>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</si>
  <si>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</si>
  <si>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</si>
  <si>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</si>
  <si>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</si>
  <si>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</si>
  <si>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</si>
  <si>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</si>
  <si>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</si>
  <si>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</si>
  <si>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</si>
  <si>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</si>
  <si>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</si>
  <si>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</si>
  <si>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</si>
  <si>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</si>
  <si>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</si>
  <si>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</si>
  <si>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</si>
  <si>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</si>
  <si>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</si>
  <si>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</si>
  <si>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</si>
  <si>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</si>
  <si>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</si>
  <si>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</si>
  <si>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</si>
  <si>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</si>
  <si>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</si>
  <si>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</si>
  <si>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</si>
  <si>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</si>
  <si>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</si>
  <si>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</si>
  <si>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</si>
  <si>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</si>
  <si>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</si>
  <si>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</si>
  <si>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</si>
  <si>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</si>
  <si>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</si>
  <si>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</si>
  <si>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</si>
  <si>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</si>
  <si>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</si>
  <si>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</si>
  <si>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</si>
  <si>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</si>
  <si>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</si>
  <si>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</si>
  <si>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</si>
  <si>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</si>
  <si>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</si>
  <si>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</si>
  <si>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</si>
  <si>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</si>
  <si>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</si>
  <si>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</si>
  <si>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</si>
  <si>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</si>
  <si>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</si>
  <si>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</si>
  <si>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</si>
  <si>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</si>
  <si>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</si>
  <si>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</si>
  <si>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</si>
  <si>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</si>
  <si>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</si>
  <si>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</si>
  <si>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</si>
  <si>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</si>
  <si>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</si>
  <si>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</si>
  <si>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</si>
  <si>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</si>
  <si>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</si>
  <si>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</si>
  <si>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</si>
  <si>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</si>
  <si>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</si>
  <si>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</si>
  <si>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</si>
  <si>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</si>
  <si>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</si>
  <si>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</si>
  <si>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</si>
  <si>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</si>
  <si>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</si>
  <si>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</si>
  <si>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</si>
  <si>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</si>
  <si>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</si>
  <si>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</si>
  <si>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</si>
  <si>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</si>
  <si>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</si>
  <si>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</si>
  <si>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</si>
  <si>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</si>
  <si>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</si>
  <si>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</si>
  <si>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</si>
  <si>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</si>
  <si>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</si>
  <si>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</si>
  <si>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</si>
  <si>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</si>
  <si>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</si>
  <si>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</si>
  <si>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</si>
  <si>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</si>
  <si>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</si>
  <si>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</si>
  <si>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</si>
  <si>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</si>
  <si>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</si>
  <si>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</si>
  <si>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</si>
  <si>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</si>
  <si>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</si>
  <si>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</si>
  <si>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</si>
  <si>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</si>
  <si>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</si>
  <si>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</si>
  <si>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</si>
  <si>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</si>
  <si>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</si>
  <si>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</si>
  <si>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</si>
  <si>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</si>
  <si>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</si>
  <si>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</si>
  <si>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</si>
  <si>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</si>
  <si>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</si>
  <si>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</si>
  <si>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</si>
  <si>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</si>
  <si>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</si>
  <si>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</si>
  <si>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</si>
  <si>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</si>
  <si>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</si>
  <si>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</si>
  <si>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</si>
  <si>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</si>
  <si>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</si>
  <si>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</si>
  <si>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</si>
  <si>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</si>
  <si>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</si>
  <si>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</si>
  <si>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</si>
  <si>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</si>
  <si>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</si>
  <si>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</si>
  <si>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</si>
  <si>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</si>
  <si>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</si>
  <si>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</si>
  <si>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</si>
  <si>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</si>
  <si>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</si>
  <si>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</si>
  <si>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</si>
  <si>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</si>
  <si>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</si>
  <si>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</si>
  <si>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</si>
  <si>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</si>
  <si>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</si>
  <si>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</si>
  <si>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</si>
  <si>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</si>
  <si>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</si>
  <si>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</si>
  <si>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</si>
  <si>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</si>
  <si>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</si>
  <si>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</si>
  <si>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</si>
  <si>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</si>
  <si>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</si>
  <si>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</si>
  <si>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</si>
  <si>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</si>
  <si>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</si>
  <si>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</si>
  <si>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</si>
  <si>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</si>
  <si>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</si>
  <si>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</si>
  <si>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</si>
  <si>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</si>
  <si>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</si>
  <si>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</si>
  <si>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</si>
  <si>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</si>
  <si>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</si>
  <si>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</si>
  <si>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</si>
  <si>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</si>
  <si>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</si>
  <si>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</si>
  <si>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</si>
  <si>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</si>
  <si>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</si>
  <si>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</si>
  <si>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</si>
  <si>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</si>
  <si>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</si>
  <si>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</si>
  <si>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</si>
  <si>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</si>
  <si>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</si>
  <si>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</si>
  <si>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</si>
  <si>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</si>
  <si>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</si>
  <si>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</si>
  <si>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</si>
  <si>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</si>
  <si>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</si>
  <si>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</si>
  <si>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</si>
  <si>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</si>
  <si>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</si>
  <si>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</si>
  <si>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</si>
  <si>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</si>
  <si>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</si>
  <si>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</si>
  <si>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</si>
  <si>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</si>
  <si>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</si>
  <si>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</si>
  <si>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</si>
  <si>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</si>
  <si>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</si>
  <si>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</si>
  <si>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</si>
  <si>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</si>
  <si>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</si>
  <si>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</si>
  <si>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</si>
  <si>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</si>
  <si>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</si>
  <si>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</si>
  <si>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</si>
  <si>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</si>
  <si>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</si>
  <si>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</si>
  <si>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</si>
  <si>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</si>
  <si>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</si>
  <si>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</si>
  <si>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</si>
  <si>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</si>
  <si>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</si>
  <si>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</si>
  <si>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</si>
  <si>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</si>
  <si>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</si>
  <si>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</si>
  <si>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</si>
  <si>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</si>
  <si>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</si>
  <si>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</si>
  <si>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</si>
  <si>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</si>
  <si>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</si>
  <si>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</si>
  <si>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</si>
  <si>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</si>
  <si>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</si>
  <si>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</si>
  <si>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</si>
  <si>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</si>
  <si>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</si>
  <si>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</si>
  <si>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</si>
  <si>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</si>
  <si>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</si>
  <si>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</si>
  <si>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</si>
  <si>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</si>
  <si>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</si>
  <si>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</si>
  <si>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</si>
  <si>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</si>
  <si>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</si>
  <si>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</si>
  <si>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</si>
  <si>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</si>
  <si>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</si>
  <si>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</si>
  <si>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</si>
  <si>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</si>
  <si>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</si>
  <si>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</si>
  <si>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</si>
  <si>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</si>
  <si>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</si>
  <si>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</si>
  <si>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</si>
  <si>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</si>
  <si>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</si>
  <si>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</si>
  <si>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</si>
  <si>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</si>
  <si>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</si>
  <si>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</si>
  <si>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</si>
  <si>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</si>
  <si>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</si>
  <si>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</si>
  <si>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</si>
  <si>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</si>
  <si>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</si>
  <si>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</si>
  <si>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</si>
  <si>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</si>
  <si>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</si>
  <si>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</si>
  <si>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</si>
  <si>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</si>
  <si>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</si>
  <si>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</si>
  <si>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</si>
  <si>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</si>
  <si>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</si>
  <si>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</si>
  <si>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</si>
  <si>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</si>
  <si>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</si>
  <si>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</si>
  <si>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</si>
  <si>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</si>
  <si>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</si>
  <si>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</si>
  <si>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</si>
  <si>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</si>
  <si>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</si>
  <si>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</si>
  <si>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</si>
  <si>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</si>
  <si>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</si>
  <si>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</si>
  <si>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</si>
  <si>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</si>
  <si>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</si>
  <si>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</si>
  <si>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</si>
  <si>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</si>
  <si>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</si>
  <si>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</si>
  <si>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</si>
  <si>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</si>
  <si>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</si>
  <si>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</si>
  <si>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</si>
  <si>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</si>
  <si>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</si>
  <si>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</si>
  <si>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</si>
  <si>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</si>
  <si>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</si>
  <si>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</si>
  <si>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</si>
  <si>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</si>
  <si>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</si>
  <si>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</si>
  <si>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</si>
  <si>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</si>
  <si>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</si>
  <si>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</si>
  <si>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</si>
  <si>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</si>
  <si>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</si>
  <si>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</si>
  <si>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</si>
  <si>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</si>
  <si>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</si>
  <si>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</si>
  <si>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</si>
  <si>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</si>
  <si>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</si>
  <si>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</si>
  <si>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</si>
  <si>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</si>
  <si>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</si>
  <si>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</si>
  <si>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</si>
  <si>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</si>
  <si>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</si>
  <si>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</si>
  <si>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</si>
  <si>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</si>
  <si>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</si>
  <si>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</si>
  <si>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</si>
  <si>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</si>
  <si>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</si>
  <si>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</si>
  <si>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</si>
  <si>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</si>
  <si>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</si>
  <si>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</si>
  <si>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</si>
  <si>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</si>
  <si>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</si>
  <si>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</si>
  <si>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</si>
  <si>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</si>
  <si>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</si>
  <si>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</si>
  <si>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</si>
  <si>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</si>
  <si>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</si>
  <si>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</si>
  <si>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</si>
  <si>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</si>
  <si>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</si>
  <si>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</si>
  <si>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</si>
  <si>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</si>
  <si>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</si>
  <si>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</si>
  <si>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</si>
  <si>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</si>
  <si>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</si>
  <si>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</si>
  <si>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</si>
  <si>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</si>
  <si>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</si>
  <si>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</si>
  <si>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</si>
  <si>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</si>
  <si>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</si>
  <si>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</si>
  <si>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</si>
  <si>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</si>
  <si>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</si>
  <si>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</si>
  <si>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</si>
  <si>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</si>
  <si>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</si>
  <si>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</si>
  <si>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</si>
  <si>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</si>
  <si>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</si>
  <si>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</si>
  <si>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</si>
  <si>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</si>
  <si>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</si>
  <si>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</si>
  <si>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</si>
  <si>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</si>
  <si>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</si>
  <si>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</si>
  <si>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</si>
  <si>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</si>
  <si>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</si>
  <si>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</si>
  <si>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</si>
  <si>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</si>
  <si>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</si>
  <si>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</si>
  <si>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</si>
  <si>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</si>
  <si>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</si>
  <si>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</si>
  <si>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</si>
  <si>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</si>
  <si>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</si>
  <si>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</si>
  <si>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</si>
  <si>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</si>
  <si>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</si>
  <si>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</si>
  <si>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</si>
  <si>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</si>
  <si>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</si>
  <si>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</si>
  <si>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</si>
  <si>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</si>
  <si>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</si>
  <si>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</si>
  <si>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</si>
  <si>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</si>
  <si>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</si>
  <si>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</si>
  <si>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</si>
  <si>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</si>
  <si>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</si>
  <si>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</si>
  <si>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</si>
  <si>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</si>
  <si>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</si>
  <si>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</si>
  <si>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</si>
  <si>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</si>
  <si>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</si>
  <si>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</si>
  <si>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</si>
  <si>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</si>
  <si>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</si>
  <si>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</si>
  <si>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</si>
  <si>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</si>
  <si>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</si>
  <si>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</si>
  <si>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</si>
  <si>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</si>
  <si>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</si>
  <si>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</si>
  <si>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</si>
  <si>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</si>
  <si>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</si>
  <si>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</si>
  <si>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</si>
  <si>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</si>
  <si>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</si>
  <si>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</si>
  <si>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</si>
  <si>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</si>
  <si>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</si>
  <si>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</si>
  <si>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</si>
  <si>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</si>
  <si>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</si>
  <si>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</si>
  <si>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</si>
  <si>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</si>
  <si>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</si>
  <si>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</si>
  <si>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</si>
  <si>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</si>
  <si>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</si>
  <si>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</si>
  <si>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</si>
  <si>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</si>
  <si>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</si>
  <si>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</si>
  <si>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</si>
  <si>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</si>
  <si>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</si>
  <si>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</si>
  <si>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</si>
  <si>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</si>
  <si>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</si>
  <si>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</si>
  <si>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</si>
  <si>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</si>
  <si>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</si>
  <si>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</si>
  <si>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</si>
  <si>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</si>
  <si>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</si>
  <si>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</si>
  <si>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</si>
  <si>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</si>
  <si>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</si>
  <si>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</si>
  <si>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</si>
  <si>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</si>
  <si>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</si>
  <si>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</si>
  <si>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</si>
  <si>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</si>
  <si>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</si>
  <si>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</si>
  <si>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</si>
  <si>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</si>
  <si>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</si>
  <si>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</si>
  <si>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</si>
  <si>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</si>
  <si>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</si>
  <si>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</si>
  <si>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</si>
  <si>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</si>
  <si>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</si>
  <si>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</si>
  <si>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</si>
  <si>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</si>
  <si>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</si>
  <si>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</si>
  <si>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</si>
  <si>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</si>
  <si>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</si>
  <si>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</si>
  <si>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</si>
  <si>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</si>
  <si>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</si>
  <si>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</si>
  <si>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</si>
  <si>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</si>
  <si>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</si>
  <si>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</si>
  <si>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</si>
  <si>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</si>
  <si>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</si>
  <si>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</si>
  <si>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</si>
  <si>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</si>
  <si>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</si>
  <si>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</si>
  <si>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</si>
  <si>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</si>
  <si>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</si>
  <si>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</si>
  <si>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Equisetum praealtum</t>
  </si>
  <si>
    <t>LBRP Rel 8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</si>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</sst>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8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53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vertical="center"/>
    </xf>
    <xf numFmtId="0" fontId="53" fillId="0" borderId="33" xfId="0" applyFont="1" applyBorder="1" applyAlignment="1">
      <alignment wrapText="1"/>
    </xf>
    <xf numFmtId="0" fontId="53" fillId="0" borderId="33" xfId="0" applyFont="1" applyBorder="1" applyAlignment="1">
      <alignment vertical="center"/>
    </xf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54" fillId="0" borderId="33" xfId="0" applyFont="1" applyBorder="1" applyAlignment="1">
      <alignment vertical="center"/>
    </xf>
    <xf numFmtId="0" fontId="54" fillId="0" borderId="33" xfId="0" applyFont="1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61" t="s">
        <v>57</v>
      </c>
      <c r="B2" s="161"/>
      <c r="C2" s="161"/>
      <c r="D2" s="161"/>
      <c r="E2" s="161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5457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44065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63" t="s">
        <v>4805</v>
      </c>
      <c r="B22" s="163"/>
      <c r="C22" s="163"/>
      <c r="D22" s="163"/>
      <c r="E22" s="163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62" t="s">
        <v>4806</v>
      </c>
      <c r="B24" s="162"/>
      <c r="C24" s="162"/>
      <c r="D24" s="162"/>
      <c r="E24" s="162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62" t="s">
        <v>61</v>
      </c>
      <c r="B39" s="162"/>
      <c r="C39" s="162"/>
      <c r="D39" s="162"/>
      <c r="E39" s="162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62" t="s">
        <v>62</v>
      </c>
      <c r="B45" s="162"/>
      <c r="C45" s="162"/>
      <c r="D45" s="162"/>
      <c r="E45" s="162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52" t="s">
        <v>43</v>
      </c>
      <c r="B93" s="153"/>
      <c r="C93" s="154"/>
      <c r="D93" s="155" t="s">
        <v>44</v>
      </c>
      <c r="E93" s="156"/>
    </row>
    <row r="94" spans="1:5" x14ac:dyDescent="0.2">
      <c r="A94" s="73" t="s">
        <v>23</v>
      </c>
      <c r="B94" s="157" t="s">
        <v>30</v>
      </c>
      <c r="C94" s="158"/>
      <c r="D94" s="3" t="s">
        <v>46</v>
      </c>
      <c r="E94" s="9">
        <v>8</v>
      </c>
    </row>
    <row r="95" spans="1:5" x14ac:dyDescent="0.2">
      <c r="A95" s="73" t="s">
        <v>24</v>
      </c>
      <c r="B95" s="159" t="s">
        <v>31</v>
      </c>
      <c r="C95" s="160"/>
      <c r="D95" s="3" t="s">
        <v>47</v>
      </c>
      <c r="E95" s="9">
        <v>7</v>
      </c>
    </row>
    <row r="96" spans="1:5" x14ac:dyDescent="0.2">
      <c r="A96" s="73" t="s">
        <v>3</v>
      </c>
      <c r="B96" s="159" t="s">
        <v>32</v>
      </c>
      <c r="C96" s="160"/>
      <c r="D96" s="3" t="s">
        <v>48</v>
      </c>
      <c r="E96" s="9">
        <v>6</v>
      </c>
    </row>
    <row r="97" spans="1:5" x14ac:dyDescent="0.2">
      <c r="A97" s="73" t="s">
        <v>25</v>
      </c>
      <c r="B97" s="159" t="s">
        <v>33</v>
      </c>
      <c r="C97" s="160"/>
      <c r="D97" s="3" t="s">
        <v>49</v>
      </c>
      <c r="E97" s="9">
        <v>5</v>
      </c>
    </row>
    <row r="98" spans="1:5" x14ac:dyDescent="0.2">
      <c r="A98" s="73" t="s">
        <v>26</v>
      </c>
      <c r="B98" s="159" t="s">
        <v>34</v>
      </c>
      <c r="C98" s="160"/>
      <c r="D98" s="3" t="s">
        <v>50</v>
      </c>
      <c r="E98" s="9">
        <v>4</v>
      </c>
    </row>
    <row r="99" spans="1:5" x14ac:dyDescent="0.2">
      <c r="A99" s="73" t="s">
        <v>27</v>
      </c>
      <c r="B99" s="159" t="s">
        <v>35</v>
      </c>
      <c r="C99" s="160"/>
      <c r="D99" s="3" t="s">
        <v>4</v>
      </c>
      <c r="E99" s="9">
        <v>3</v>
      </c>
    </row>
    <row r="100" spans="1:5" x14ac:dyDescent="0.2">
      <c r="A100" s="73" t="s">
        <v>2</v>
      </c>
      <c r="B100" s="159" t="s">
        <v>36</v>
      </c>
      <c r="C100" s="160"/>
      <c r="D100" s="3" t="s">
        <v>5</v>
      </c>
      <c r="E100" s="9">
        <v>2</v>
      </c>
    </row>
    <row r="101" spans="1:5" x14ac:dyDescent="0.2">
      <c r="A101" s="73" t="s">
        <v>28</v>
      </c>
      <c r="B101" s="159" t="s">
        <v>37</v>
      </c>
      <c r="C101" s="16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66" t="s">
        <v>38</v>
      </c>
      <c r="C102" s="167"/>
      <c r="D102" s="5"/>
      <c r="E102" s="8"/>
    </row>
    <row r="103" spans="1:5" ht="13.5" thickBot="1" x14ac:dyDescent="0.25">
      <c r="A103" s="152" t="s">
        <v>68</v>
      </c>
      <c r="B103" s="153"/>
      <c r="C103" s="154"/>
      <c r="D103" s="155" t="s">
        <v>45</v>
      </c>
      <c r="E103" s="15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52" t="s">
        <v>21</v>
      </c>
      <c r="B112" s="153"/>
      <c r="C112" s="156"/>
    </row>
    <row r="113" spans="1:3" x14ac:dyDescent="0.2">
      <c r="A113" s="73">
        <v>1</v>
      </c>
      <c r="B113" s="157" t="s">
        <v>40</v>
      </c>
      <c r="C113" s="158"/>
    </row>
    <row r="114" spans="1:3" x14ac:dyDescent="0.2">
      <c r="A114" s="73" t="s">
        <v>39</v>
      </c>
      <c r="B114" s="159" t="s">
        <v>41</v>
      </c>
      <c r="C114" s="160"/>
    </row>
    <row r="115" spans="1:3" x14ac:dyDescent="0.2">
      <c r="A115" s="74" t="s">
        <v>15</v>
      </c>
      <c r="B115" s="164" t="s">
        <v>42</v>
      </c>
      <c r="C115" s="165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61" t="s">
        <v>127</v>
      </c>
      <c r="B1" s="161"/>
      <c r="C1" s="161"/>
      <c r="D1" s="161"/>
      <c r="E1" s="161"/>
      <c r="F1" s="161"/>
      <c r="G1" s="161"/>
      <c r="H1" s="14"/>
    </row>
    <row r="2" spans="1:14" x14ac:dyDescent="0.2">
      <c r="A2" s="170" t="s">
        <v>138</v>
      </c>
      <c r="B2" s="170"/>
      <c r="C2" s="15"/>
      <c r="D2" s="15"/>
      <c r="E2" s="15"/>
      <c r="F2" s="15"/>
      <c r="G2" s="15"/>
      <c r="H2" s="15"/>
    </row>
    <row r="3" spans="1:14" x14ac:dyDescent="0.2">
      <c r="A3" s="171" t="s">
        <v>52</v>
      </c>
      <c r="B3" s="171"/>
      <c r="C3" s="15"/>
      <c r="D3" s="15"/>
      <c r="E3" s="15"/>
      <c r="F3" s="15"/>
      <c r="G3" s="15"/>
      <c r="H3" s="15"/>
    </row>
    <row r="4" spans="1:14" x14ac:dyDescent="0.2">
      <c r="A4" s="171" t="s">
        <v>55</v>
      </c>
      <c r="B4" s="171"/>
      <c r="C4" s="15"/>
      <c r="D4" s="15"/>
      <c r="E4" s="15"/>
      <c r="F4" s="15"/>
      <c r="G4" s="15"/>
      <c r="H4" s="15"/>
    </row>
    <row r="5" spans="1:14" x14ac:dyDescent="0.2">
      <c r="A5" s="171" t="s">
        <v>51</v>
      </c>
      <c r="B5" s="171"/>
      <c r="C5" s="15"/>
      <c r="D5" s="15"/>
      <c r="E5" s="15"/>
      <c r="F5" s="15"/>
      <c r="G5" s="15"/>
      <c r="H5" s="15"/>
    </row>
    <row r="6" spans="1:14" x14ac:dyDescent="0.2">
      <c r="A6" s="168" t="s">
        <v>128</v>
      </c>
      <c r="B6" s="168"/>
    </row>
    <row r="7" spans="1:14" x14ac:dyDescent="0.2">
      <c r="A7" s="168" t="s">
        <v>129</v>
      </c>
      <c r="B7" s="168"/>
      <c r="C7" s="169"/>
      <c r="D7" s="169"/>
      <c r="E7" s="169"/>
      <c r="F7" s="169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3" zoomScale="70" zoomScaleNormal="70" workbookViewId="0">
      <selection activeCell="B1089" sqref="B10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30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7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3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7" t="s">
        <v>4887</v>
      </c>
      <c r="C312" s="39">
        <v>1</v>
      </c>
      <c r="D312" s="119" t="s">
        <v>149</v>
      </c>
      <c r="E312" s="138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3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2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42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3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8" customFormat="1" x14ac:dyDescent="0.2">
      <c r="A822" s="36" t="s">
        <v>4853</v>
      </c>
      <c r="B822" s="119" t="s">
        <v>2293</v>
      </c>
      <c r="C822" s="37">
        <v>6</v>
      </c>
      <c r="D822" s="119" t="s">
        <v>149</v>
      </c>
      <c r="E822" s="127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40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5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4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7" customFormat="1" x14ac:dyDescent="0.2">
      <c r="A985" s="36" t="s">
        <v>4851</v>
      </c>
      <c r="B985" s="119" t="s">
        <v>4852</v>
      </c>
      <c r="C985" s="39">
        <v>7</v>
      </c>
      <c r="D985" s="119" t="s">
        <v>149</v>
      </c>
      <c r="E985" s="120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s="148" customFormat="1" x14ac:dyDescent="0.2">
      <c r="A1088" s="36" t="s">
        <v>5456</v>
      </c>
      <c r="B1088" s="148" t="s">
        <v>1907</v>
      </c>
      <c r="C1088" s="37">
        <v>3</v>
      </c>
      <c r="D1088" s="148" t="s">
        <v>149</v>
      </c>
      <c r="E1088" s="37" t="s">
        <v>147</v>
      </c>
      <c r="F1088" s="37"/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32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35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46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30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37" t="s">
        <v>4885</v>
      </c>
      <c r="C1458" s="39">
        <v>4</v>
      </c>
      <c r="D1458" s="119" t="s">
        <v>149</v>
      </c>
      <c r="E1458" s="119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35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9" customFormat="1" ht="15" x14ac:dyDescent="0.25">
      <c r="A1647" s="110" t="s">
        <v>4844</v>
      </c>
      <c r="C1647" s="109">
        <v>0</v>
      </c>
      <c r="D1647" s="109" t="s">
        <v>157</v>
      </c>
      <c r="E1647" s="109" t="s">
        <v>152</v>
      </c>
    </row>
    <row r="1648" spans="1:6" s="129" customFormat="1" ht="15" x14ac:dyDescent="0.25">
      <c r="A1648" s="132" t="s">
        <v>4844</v>
      </c>
      <c r="C1648" s="129">
        <v>0</v>
      </c>
      <c r="D1648" s="129" t="s">
        <v>157</v>
      </c>
      <c r="E1648" s="129" t="s">
        <v>152</v>
      </c>
    </row>
    <row r="1649" spans="1:6" s="129" customFormat="1" ht="15" x14ac:dyDescent="0.25">
      <c r="A1649" s="132" t="s">
        <v>4861</v>
      </c>
      <c r="C1649" s="129">
        <v>0</v>
      </c>
      <c r="D1649" s="129" t="s">
        <v>157</v>
      </c>
      <c r="E1649" s="129" t="s">
        <v>152</v>
      </c>
    </row>
    <row r="1650" spans="1:6" s="129" customFormat="1" ht="15" x14ac:dyDescent="0.25">
      <c r="A1650" s="132" t="s">
        <v>4861</v>
      </c>
      <c r="C1650" s="129">
        <v>0</v>
      </c>
      <c r="D1650" s="129" t="s">
        <v>157</v>
      </c>
      <c r="E1650" s="129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40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34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30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37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19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30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37" t="s">
        <v>4882</v>
      </c>
      <c r="C2446" s="39">
        <v>2</v>
      </c>
      <c r="D2446" s="119" t="s">
        <v>157</v>
      </c>
      <c r="E2446" s="138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30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39" customFormat="1" x14ac:dyDescent="0.2">
      <c r="A2531" s="36" t="s">
        <v>3958</v>
      </c>
      <c r="C2531" s="37">
        <v>3</v>
      </c>
      <c r="D2531" s="139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32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47" customFormat="1" ht="15" x14ac:dyDescent="0.25">
      <c r="A2546" s="149" t="s">
        <v>5455</v>
      </c>
      <c r="C2546" s="147">
        <v>4</v>
      </c>
      <c r="D2546" s="147" t="s">
        <v>149</v>
      </c>
      <c r="E2546" s="147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12" customFormat="1" ht="15" x14ac:dyDescent="0.25">
      <c r="A2604" s="113" t="s">
        <v>4848</v>
      </c>
      <c r="B2604" s="112" t="s">
        <v>4849</v>
      </c>
      <c r="C2604" s="112">
        <v>0</v>
      </c>
      <c r="D2604" s="112" t="s">
        <v>149</v>
      </c>
      <c r="E2604" s="112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28" customFormat="1" x14ac:dyDescent="0.2">
      <c r="A2678" s="36" t="s">
        <v>4856</v>
      </c>
      <c r="B2678" s="128" t="s">
        <v>4152</v>
      </c>
      <c r="C2678" s="128">
        <v>1</v>
      </c>
      <c r="D2678" s="128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37" t="s">
        <v>4884</v>
      </c>
      <c r="C2846" s="39">
        <v>1</v>
      </c>
      <c r="D2846" s="119" t="s">
        <v>149</v>
      </c>
      <c r="E2846" s="138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41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11" customFormat="1" x14ac:dyDescent="0.2">
      <c r="A3049" s="36" t="s">
        <v>4845</v>
      </c>
      <c r="B3049" s="111" t="s">
        <v>4846</v>
      </c>
      <c r="C3049" s="37">
        <v>0</v>
      </c>
      <c r="D3049" s="111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30" t="s">
        <v>4858</v>
      </c>
      <c r="C3073" s="39">
        <v>4</v>
      </c>
      <c r="D3073" s="31" t="s">
        <v>149</v>
      </c>
      <c r="E3073" s="39" t="s">
        <v>147</v>
      </c>
    </row>
    <row r="3074" spans="1:7" s="131" customFormat="1" ht="15" x14ac:dyDescent="0.25">
      <c r="A3074" s="133" t="s">
        <v>4867</v>
      </c>
      <c r="C3074" s="39">
        <v>4</v>
      </c>
      <c r="D3074" s="131" t="s">
        <v>149</v>
      </c>
      <c r="E3074" s="39" t="s">
        <v>147</v>
      </c>
    </row>
    <row r="3075" spans="1:7" s="131" customFormat="1" ht="15" x14ac:dyDescent="0.25">
      <c r="A3075" s="133" t="s">
        <v>4868</v>
      </c>
      <c r="C3075" s="39">
        <v>7</v>
      </c>
      <c r="D3075" s="131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36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86" t="s">
        <v>138</v>
      </c>
      <c r="B2" s="103" t="s">
        <v>5457</v>
      </c>
      <c r="C2" s="46" t="str">
        <f>CONCATENATE(B2,2024)</f>
        <v>LBRP Rel 82024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3"/>
      <c r="C7" s="173"/>
      <c r="D7" s="173"/>
      <c r="E7" s="173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0" t="s">
        <v>4860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51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8">
        <f t="shared" ref="N10:N75" si="2">L10/$L$151</f>
        <v>0.15789473684210525</v>
      </c>
      <c r="O10" s="108">
        <f t="shared" ref="O10:O11" si="3">D10*N10</f>
        <v>0.31578947368421051</v>
      </c>
    </row>
    <row r="11" spans="1:15" ht="13.5" thickBot="1" x14ac:dyDescent="0.25">
      <c r="A11" s="151" t="s">
        <v>4757</v>
      </c>
      <c r="B11" s="44" t="str">
        <f>IF(LEN(VLOOKUP(A11,'Species List'!$A:$G,2,FALSE))=0,"",VLOOKUP(A11,'Species List'!$A:$G,2,FALSE))</f>
        <v>prickly ash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51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0.15789473684210525</v>
      </c>
      <c r="O11" s="108">
        <f t="shared" si="3"/>
        <v>0.47368421052631576</v>
      </c>
    </row>
    <row r="12" spans="1:15" ht="13.5" thickBot="1" x14ac:dyDescent="0.25">
      <c r="A12" s="151" t="s">
        <v>4543</v>
      </c>
      <c r="B12" s="44" t="str">
        <f>IF(LEN(VLOOKUP(A12,'Species List'!$A:$G,2,FALSE))=0,"",VLOOKUP(A12,'Species List'!$A:$G,2,FALSE))</f>
        <v>Siberian elm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UPL</v>
      </c>
      <c r="H12" s="44">
        <f>VLOOKUP(A12,'Species List'!$A:$G,7,FALSE)</f>
        <v>0</v>
      </c>
      <c r="J12" s="151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0.15789473684210525</v>
      </c>
      <c r="O12" s="85">
        <f>D12*N12</f>
        <v>0</v>
      </c>
    </row>
    <row r="13" spans="1:15" ht="13.5" thickBot="1" x14ac:dyDescent="0.25">
      <c r="A13" s="151" t="s">
        <v>3808</v>
      </c>
      <c r="B13" s="44" t="str">
        <f>IF(LEN(VLOOKUP(A13,'Species List'!$A:$G,2,FALSE))=0,"",VLOOKUP(A13,'Species List'!$A:$G,2,FALSE))</f>
        <v>black raspberry</v>
      </c>
      <c r="C13" s="44">
        <f>IF(LEN(VLOOKUP(A13,'Species List'!$A:$G,3,FALSE))=0,"",VLOOKUP(A13,'Species List'!$A:$G,3,FALSE))</f>
        <v>2</v>
      </c>
      <c r="D13" s="98">
        <f t="shared" ref="D13:D76" si="4">VALUE(C13)</f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51" t="s">
        <v>4824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ref="M13:M76" si="5">VALUE(L13)</f>
        <v>0.5</v>
      </c>
      <c r="N13" s="85">
        <f t="shared" si="2"/>
        <v>2.6315789473684209E-2</v>
      </c>
      <c r="O13" s="97">
        <f t="shared" ref="O13:O76" si="6">D13*N13</f>
        <v>5.2631578947368418E-2</v>
      </c>
    </row>
    <row r="14" spans="1:15" ht="13.5" thickBot="1" x14ac:dyDescent="0.25">
      <c r="A14" s="151" t="s">
        <v>2119</v>
      </c>
      <c r="B14" s="44" t="str">
        <f>IF(LEN(VLOOKUP(A14,'Species List'!$A:$G,2,FALSE))=0,"",VLOOKUP(A14,'Species List'!$A:$G,2,FALSE))</f>
        <v>green ash</v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151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0.15789473684210525</v>
      </c>
      <c r="O14" s="97">
        <f t="shared" si="6"/>
        <v>0.31578947368421051</v>
      </c>
    </row>
    <row r="15" spans="1:15" ht="13.5" thickBot="1" x14ac:dyDescent="0.25">
      <c r="A15" s="151" t="s">
        <v>2469</v>
      </c>
      <c r="B15" s="44" t="str">
        <f>IF(LEN(VLOOKUP(A15,'Species List'!$A:$G,2,FALSE))=0,"",VLOOKUP(A15,'Species List'!$A:$G,2,FALSE))</f>
        <v>black walnut</v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51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0.15789473684210525</v>
      </c>
      <c r="O15" s="97">
        <f t="shared" si="6"/>
        <v>0.63157894736842102</v>
      </c>
    </row>
    <row r="16" spans="1:15" ht="13.5" thickBot="1" x14ac:dyDescent="0.25">
      <c r="A16" s="151" t="s">
        <v>3710</v>
      </c>
      <c r="B16" s="44" t="str">
        <f>IF(LEN(VLOOKUP(A16,'Species List'!$A:$G,2,FALSE))=0,"",VLOOKUP(A16,'Species List'!$A:$G,2,FALSE))</f>
        <v>common buckthorn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51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0.15789473684210525</v>
      </c>
      <c r="O16" s="97">
        <f t="shared" si="6"/>
        <v>0</v>
      </c>
    </row>
    <row r="17" spans="1:15" ht="13.5" thickBot="1" x14ac:dyDescent="0.25">
      <c r="A17" s="150" t="s">
        <v>5458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51" t="s">
        <v>4824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99">
        <f t="shared" si="5"/>
        <v>0.5</v>
      </c>
      <c r="N17" s="85">
        <f t="shared" si="2"/>
        <v>2.6315789473684209E-2</v>
      </c>
      <c r="O17" s="97">
        <f t="shared" si="6"/>
        <v>0</v>
      </c>
    </row>
    <row r="18" spans="1:15" ht="13.5" thickBot="1" x14ac:dyDescent="0.25">
      <c r="A18" s="122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4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2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4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2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4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2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4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2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4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2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5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2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4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3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4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74" t="s">
        <v>4791</v>
      </c>
      <c r="J151" s="175"/>
      <c r="K151" s="176"/>
      <c r="L151" s="63">
        <f>SUMIF(L10:L150,"&gt;=0")</f>
        <v>19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5EAFC258-59B0-4125-A9CA-857049B27687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13" workbookViewId="0">
      <selection activeCell="J10" sqref="J10:J3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3"/>
      <c r="C7" s="173"/>
      <c r="D7" s="173"/>
      <c r="E7" s="173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4461</v>
      </c>
      <c r="B10" s="44" t="str">
        <f>IF(LEN(VLOOKUP(A10,'Species List'!$A:$G,2,FALSE))=0,"",VLOOKUP(A10,'Species List'!$A:$G,2,FALSE))</f>
        <v>western poison ivy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51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2" si="1">VALUE(L10)</f>
        <v>37.5</v>
      </c>
      <c r="N10" s="108">
        <f t="shared" ref="N10:N41" si="2">L10/$L$150</f>
        <v>0.26315789473684209</v>
      </c>
      <c r="O10" s="108">
        <f t="shared" ref="O10:O11" si="3">D10*N10</f>
        <v>0.26315789473684209</v>
      </c>
    </row>
    <row r="11" spans="1:15" ht="13.5" thickBot="1" x14ac:dyDescent="0.25">
      <c r="A11" s="151" t="s">
        <v>2031</v>
      </c>
      <c r="B11" s="44" t="str">
        <f>IF(LEN(VLOOKUP(A11,'Species List'!$A:$G,2,FALSE))=0,"",VLOOKUP(A11,'Species List'!$A:$G,2,FALSE))</f>
        <v>toothed spurge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51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2.1052631578947368E-2</v>
      </c>
      <c r="O11" s="108">
        <f t="shared" si="3"/>
        <v>2.1052631578947368E-2</v>
      </c>
    </row>
    <row r="12" spans="1:15" ht="13.5" thickBot="1" x14ac:dyDescent="0.25">
      <c r="A12" s="151" t="s">
        <v>2047</v>
      </c>
      <c r="B12" s="44" t="str">
        <f>IF(LEN(VLOOKUP(A12,'Species List'!$A:$G,2,FALSE))=0,"",VLOOKUP(A12,'Species List'!$A:$G,2,FALSE))</f>
        <v>nodding spurge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51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2.1052631578947368E-2</v>
      </c>
      <c r="O12" s="85">
        <f>D12*N12</f>
        <v>0</v>
      </c>
    </row>
    <row r="13" spans="1:15" ht="13.5" thickBot="1" x14ac:dyDescent="0.25">
      <c r="A13" s="151" t="s">
        <v>2910</v>
      </c>
      <c r="B13" s="44" t="str">
        <f>IF(LEN(VLOOKUP(A13,'Species List'!$A:$G,2,FALSE))=0,"",VLOOKUP(A13,'Species List'!$A:$G,2,FALSE))</f>
        <v>wild bergamot</v>
      </c>
      <c r="C13" s="44">
        <f>IF(LEN(VLOOKUP(A13,'Species List'!$A:$G,3,FALSE))=0,"",VLOOKUP(A13,'Species List'!$A:$G,3,FALSE))</f>
        <v>3</v>
      </c>
      <c r="D13" s="98">
        <f t="shared" ref="D13:D75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5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0.10526315789473684</v>
      </c>
      <c r="O13" s="97">
        <f t="shared" ref="O13:O75" si="6">D13*N13</f>
        <v>0.31578947368421051</v>
      </c>
    </row>
    <row r="14" spans="1:15" ht="13.5" thickBot="1" x14ac:dyDescent="0.25">
      <c r="A14" s="151" t="s">
        <v>320</v>
      </c>
      <c r="B14" s="44" t="str">
        <f>IF(LEN(VLOOKUP(A14,'Species List'!$A:$G,2,FALSE))=0,"",VLOOKUP(A14,'Species List'!$A:$G,2,FALSE))</f>
        <v>common ragweed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5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5"/>
        <v>15</v>
      </c>
      <c r="N14" s="97">
        <f t="shared" si="2"/>
        <v>0.10526315789473684</v>
      </c>
      <c r="O14" s="97">
        <f t="shared" si="6"/>
        <v>0</v>
      </c>
    </row>
    <row r="15" spans="1:15" ht="13.5" thickBot="1" x14ac:dyDescent="0.25">
      <c r="A15" s="151" t="s">
        <v>2842</v>
      </c>
      <c r="B15" s="44" t="str">
        <f>IF(LEN(VLOOKUP(A15,'Species List'!$A:$G,2,FALSE))=0,"",VLOOKUP(A15,'Species List'!$A:$G,2,FALSE))</f>
        <v>black medick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51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2.1052631578947368E-2</v>
      </c>
      <c r="O15" s="97">
        <f t="shared" si="6"/>
        <v>0</v>
      </c>
    </row>
    <row r="16" spans="1:15" ht="13.5" thickBot="1" x14ac:dyDescent="0.25">
      <c r="A16" s="151" t="s">
        <v>3287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5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97">
        <f t="shared" si="2"/>
        <v>0.10526315789473684</v>
      </c>
      <c r="O16" s="97">
        <f t="shared" si="6"/>
        <v>0.31578947368421051</v>
      </c>
    </row>
    <row r="17" spans="1:15" ht="13.5" thickBot="1" x14ac:dyDescent="0.25">
      <c r="A17" s="151" t="s">
        <v>2110</v>
      </c>
      <c r="B17" s="44" t="str">
        <f>IF(LEN(VLOOKUP(A17,'Species List'!$A:$G,2,FALSE))=0,"",VLOOKUP(A17,'Species List'!$A:$G,2,FALSE))</f>
        <v>common strawberry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FAC-</v>
      </c>
      <c r="H17" s="44">
        <f>VLOOKUP(A17,'Species List'!$A:$G,7,FALSE)</f>
        <v>0</v>
      </c>
      <c r="J17" s="151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2.1052631578947368E-2</v>
      </c>
      <c r="O17" s="97">
        <f t="shared" si="6"/>
        <v>4.2105263157894736E-2</v>
      </c>
    </row>
    <row r="18" spans="1:15" ht="13.5" thickBot="1" x14ac:dyDescent="0.25">
      <c r="A18" s="151" t="s">
        <v>1969</v>
      </c>
      <c r="B18" s="44" t="str">
        <f>IF(LEN(VLOOKUP(A18,'Species List'!$A:$G,2,FALSE))=0,"",VLOOKUP(A18,'Species List'!$A:$G,2,FALSE))</f>
        <v>daisy fleabane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51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2.1052631578947368E-2</v>
      </c>
      <c r="O18" s="97">
        <f t="shared" si="6"/>
        <v>4.2105263157894736E-2</v>
      </c>
    </row>
    <row r="19" spans="1:15" ht="13.5" thickBot="1" x14ac:dyDescent="0.25">
      <c r="A19" s="151" t="s">
        <v>4596</v>
      </c>
      <c r="B19" s="44" t="str">
        <f>IF(LEN(VLOOKUP(A19,'Species List'!$A:$G,2,FALSE))=0,"",VLOOKUP(A19,'Species List'!$A:$G,2,FALSE))</f>
        <v>common mullein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UPL</v>
      </c>
      <c r="H19" s="44">
        <f>VLOOKUP(A19,'Species List'!$A:$G,7,FALSE)</f>
        <v>0</v>
      </c>
      <c r="J19" s="151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2.1052631578947368E-2</v>
      </c>
      <c r="O19" s="97">
        <f t="shared" si="6"/>
        <v>0</v>
      </c>
    </row>
    <row r="20" spans="1:15" ht="13.5" thickBot="1" x14ac:dyDescent="0.25">
      <c r="A20" s="151" t="s">
        <v>186</v>
      </c>
      <c r="B20" s="44" t="str">
        <f>IF(LEN(VLOOKUP(A20,'Species List'!$A:$G,2,FALSE))=0,"",VLOOKUP(A20,'Species List'!$A:$G,2,FALSE))</f>
        <v>common yarrow</v>
      </c>
      <c r="C20" s="44">
        <f>IF(LEN(VLOOKUP(A20,'Species List'!$A:$G,3,FALSE))=0,"",VLOOKUP(A20,'Species List'!$A:$G,3,FALSE))</f>
        <v>1</v>
      </c>
      <c r="D20" s="98">
        <f t="shared" si="4"/>
        <v>1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51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2.1052631578947368E-2</v>
      </c>
      <c r="O20" s="97">
        <f t="shared" si="6"/>
        <v>2.1052631578947368E-2</v>
      </c>
    </row>
    <row r="21" spans="1:15" ht="13.5" thickBot="1" x14ac:dyDescent="0.25">
      <c r="A21" s="151" t="s">
        <v>4870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51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99">
        <f t="shared" si="5"/>
        <v>15</v>
      </c>
      <c r="N21" s="97">
        <f t="shared" si="2"/>
        <v>0.10526315789473684</v>
      </c>
      <c r="O21" s="97">
        <f t="shared" si="6"/>
        <v>0</v>
      </c>
    </row>
    <row r="22" spans="1:15" ht="13.5" thickBot="1" x14ac:dyDescent="0.25">
      <c r="A22" s="151" t="s">
        <v>3577</v>
      </c>
      <c r="B22" s="44" t="str">
        <f>IF(LEN(VLOOKUP(A22,'Species List'!$A:$G,2,FALSE))=0,"",VLOOKUP(A22,'Species List'!$A:$G,2,FALSE))</f>
        <v>rough-fruited cinquefoil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51" t="s">
        <v>4824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97">
        <f t="shared" si="2"/>
        <v>3.5087719298245615E-3</v>
      </c>
      <c r="O22" s="97">
        <f t="shared" si="6"/>
        <v>0</v>
      </c>
    </row>
    <row r="23" spans="1:15" ht="13.5" thickBot="1" x14ac:dyDescent="0.25">
      <c r="A23" s="151" t="s">
        <v>639</v>
      </c>
      <c r="B23" s="44" t="str">
        <f>IF(LEN(VLOOKUP(A23,'Species List'!$A:$G,2,FALSE))=0,"",VLOOKUP(A23,'Species List'!$A:$G,2,FALSE))</f>
        <v>hoary alyssum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51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2.1052631578947368E-2</v>
      </c>
      <c r="O23" s="97">
        <f t="shared" si="6"/>
        <v>0</v>
      </c>
    </row>
    <row r="24" spans="1:15" ht="13.5" thickBot="1" x14ac:dyDescent="0.25">
      <c r="A24" s="151" t="s">
        <v>4090</v>
      </c>
      <c r="B24" s="44" t="str">
        <f>IF(LEN(VLOOKUP(A24,'Species List'!$A:$G,2,FALSE))=0,"",VLOOKUP(A24,'Species List'!$A:$G,2,FALSE))</f>
        <v>smooth catchfly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51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2.1052631578947368E-2</v>
      </c>
      <c r="O24" s="97">
        <f t="shared" si="6"/>
        <v>0</v>
      </c>
    </row>
    <row r="25" spans="1:15" ht="13.5" thickBot="1" x14ac:dyDescent="0.25">
      <c r="A25" s="151" t="s">
        <v>2215</v>
      </c>
      <c r="B25" s="44" t="str">
        <f>IF(LEN(VLOOKUP(A25,'Species List'!$A:$G,2,FALSE))=0,"",VLOOKUP(A25,'Species List'!$A:$G,2,FALSE))</f>
        <v>white avens</v>
      </c>
      <c r="C25" s="44">
        <f>IF(LEN(VLOOKUP(A25,'Species List'!$A:$G,3,FALSE))=0,"",VLOOKUP(A25,'Species List'!$A:$G,3,FALSE))</f>
        <v>2</v>
      </c>
      <c r="D25" s="98">
        <f t="shared" si="4"/>
        <v>2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151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2.1052631578947368E-2</v>
      </c>
      <c r="O25" s="97">
        <f t="shared" si="6"/>
        <v>4.2105263157894736E-2</v>
      </c>
    </row>
    <row r="26" spans="1:15" ht="13.5" thickBot="1" x14ac:dyDescent="0.25">
      <c r="A26" s="151" t="s">
        <v>1403</v>
      </c>
      <c r="B26" s="44" t="str">
        <f>IF(LEN(VLOOKUP(A26,'Species List'!$A:$G,2,FALSE))=0,"",VLOOKUP(A26,'Species List'!$A:$G,2,FALSE))</f>
        <v>horseweed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[FAC-]</v>
      </c>
      <c r="H26" s="44">
        <f>VLOOKUP(A26,'Species List'!$A:$G,7,FALSE)</f>
        <v>0</v>
      </c>
      <c r="J26" s="151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2.1052631578947368E-2</v>
      </c>
      <c r="O26" s="97">
        <f t="shared" si="6"/>
        <v>0</v>
      </c>
    </row>
    <row r="27" spans="1:15" ht="13.5" thickBot="1" x14ac:dyDescent="0.25">
      <c r="A27" s="151" t="s">
        <v>1379</v>
      </c>
      <c r="B27" s="44" t="str">
        <f>IF(LEN(VLOOKUP(A27,'Species List'!$A:$G,2,FALSE))=0,"",VLOOKUP(A27,'Species List'!$A:$G,2,FALSE))</f>
        <v>virgin's bower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C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</v>
      </c>
      <c r="H27" s="44">
        <f>VLOOKUP(A27,'Species List'!$A:$G,7,FALSE)</f>
        <v>0</v>
      </c>
      <c r="J27" s="151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2.1052631578947368E-2</v>
      </c>
      <c r="O27" s="97">
        <f t="shared" si="6"/>
        <v>8.4210526315789472E-2</v>
      </c>
    </row>
    <row r="28" spans="1:15" ht="13.5" thickBot="1" x14ac:dyDescent="0.25">
      <c r="A28" s="151" t="s">
        <v>4420</v>
      </c>
      <c r="B28" s="44" t="str">
        <f>IF(LEN(VLOOKUP(A28,'Species List'!$A:$G,2,FALSE))=0,"",VLOOKUP(A28,'Species List'!$A:$G,2,FALSE))</f>
        <v>germander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151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2.1052631578947368E-2</v>
      </c>
      <c r="O28" s="97">
        <f t="shared" si="6"/>
        <v>8.4210526315789472E-2</v>
      </c>
    </row>
    <row r="29" spans="1:15" ht="13.5" thickBot="1" x14ac:dyDescent="0.25">
      <c r="A29" s="151" t="s">
        <v>4858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51" t="s">
        <v>4824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3.5087719298245615E-3</v>
      </c>
      <c r="O29" s="97">
        <f t="shared" si="6"/>
        <v>1.4035087719298246E-2</v>
      </c>
    </row>
    <row r="30" spans="1:15" ht="13.5" thickBot="1" x14ac:dyDescent="0.25">
      <c r="A30" s="151" t="s">
        <v>3351</v>
      </c>
      <c r="B30" s="44" t="str">
        <f>IF(LEN(VLOOKUP(A30,'Species List'!$A:$G,2,FALSE))=0,"",VLOOKUP(A30,'Species List'!$A:$G,2,FALSE))</f>
        <v>Rugel's plantain</v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[FAC]</v>
      </c>
      <c r="H30" s="44">
        <f>VLOOKUP(A30,'Species List'!$A:$G,7,FALSE)</f>
        <v>0</v>
      </c>
      <c r="J30" s="151" t="s">
        <v>4824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3.5087719298245615E-3</v>
      </c>
      <c r="O30" s="97">
        <f t="shared" si="6"/>
        <v>0</v>
      </c>
    </row>
    <row r="31" spans="1:15" ht="13.5" thickBot="1" x14ac:dyDescent="0.25">
      <c r="A31" s="151" t="s">
        <v>4871</v>
      </c>
      <c r="B31" s="44" t="str">
        <f>IF(LEN(VLOOKUP(A31,'Species List'!$A:$G,2,FALSE))=0,"",VLOOKUP(A31,'Species List'!$A:$G,2,FALSE))</f>
        <v>tall thimbleweed</v>
      </c>
      <c r="C31" s="44">
        <f>IF(LEN(VLOOKUP(A31,'Species List'!$A:$G,3,FALSE))=0,"",VLOOKUP(A31,'Species List'!$A:$G,3,FALSE))</f>
        <v>7</v>
      </c>
      <c r="D31" s="98">
        <f t="shared" si="4"/>
        <v>7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51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2.1052631578947368E-2</v>
      </c>
      <c r="O31" s="97">
        <f t="shared" si="6"/>
        <v>0.14736842105263157</v>
      </c>
    </row>
    <row r="32" spans="1:15" ht="13.5" thickBot="1" x14ac:dyDescent="0.25">
      <c r="A32" s="151" t="s">
        <v>3294</v>
      </c>
      <c r="B32" s="44" t="str">
        <f>IF(LEN(VLOOKUP(A32,'Species List'!$A:$G,2,FALSE))=0,"",VLOOKUP(A32,'Species List'!$A:$G,2,FALSE))</f>
        <v>Virginia ground cherry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51" t="s">
        <v>4824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99">
        <f t="shared" si="5"/>
        <v>0.5</v>
      </c>
      <c r="N32" s="97">
        <f t="shared" si="2"/>
        <v>3.5087719298245615E-3</v>
      </c>
      <c r="O32" s="97">
        <f t="shared" si="6"/>
        <v>1.4035087719298246E-2</v>
      </c>
    </row>
    <row r="33" spans="1:15" ht="13.5" thickBot="1" x14ac:dyDescent="0.25">
      <c r="A33" s="151" t="s">
        <v>4604</v>
      </c>
      <c r="B33" s="44" t="str">
        <f>IF(LEN(VLOOKUP(A33,'Species List'!$A:$G,2,FALSE))=0,"",VLOOKUP(A33,'Species List'!$A:$G,2,FALSE))</f>
        <v>hoary vervain</v>
      </c>
      <c r="C33" s="44">
        <f>IF(LEN(VLOOKUP(A33,'Species List'!$A:$G,3,FALSE))=0,"",VLOOKUP(A33,'Species List'!$A:$G,3,FALSE))</f>
        <v>3</v>
      </c>
      <c r="D33" s="98">
        <f t="shared" si="4"/>
        <v>3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51" t="s">
        <v>4824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99">
        <f t="shared" si="5"/>
        <v>0.5</v>
      </c>
      <c r="N33" s="97">
        <f t="shared" si="2"/>
        <v>3.5087719298245615E-3</v>
      </c>
      <c r="O33" s="97">
        <f t="shared" si="6"/>
        <v>1.0526315789473684E-2</v>
      </c>
    </row>
    <row r="34" spans="1:15" ht="13.5" thickBot="1" x14ac:dyDescent="0.25">
      <c r="A34" s="151" t="s">
        <v>552</v>
      </c>
      <c r="B34" s="44" t="str">
        <f>IF(LEN(VLOOKUP(A34,'Species List'!$A:$G,2,FALSE))=0,"",VLOOKUP(A34,'Species List'!$A:$G,2,FALSE))</f>
        <v>whorled milkweed</v>
      </c>
      <c r="C34" s="44">
        <f>IF(LEN(VLOOKUP(A34,'Species List'!$A:$G,3,FALSE))=0,"",VLOOKUP(A34,'Species List'!$A:$G,3,FALSE))</f>
        <v>2</v>
      </c>
      <c r="D34" s="98">
        <f t="shared" si="4"/>
        <v>2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51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97">
        <f t="shared" si="2"/>
        <v>3.5087719298245615E-3</v>
      </c>
      <c r="O34" s="97">
        <f t="shared" si="6"/>
        <v>7.0175438596491229E-3</v>
      </c>
    </row>
    <row r="35" spans="1:15" x14ac:dyDescent="0.2">
      <c r="A35" s="116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6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6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6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5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6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5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6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5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6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5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6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5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6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74" t="s">
        <v>4791</v>
      </c>
      <c r="J150" s="175"/>
      <c r="K150" s="176"/>
      <c r="L150" s="63">
        <f>SUMIF(L10:L149,"&gt;=0")</f>
        <v>142.5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CC0D-CD2F-4594-A68F-8B378D1016AD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5457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5459</v>
      </c>
    </row>
    <row r="29" spans="1:1" x14ac:dyDescent="0.2">
      <c r="A29" t="s">
        <v>5460</v>
      </c>
    </row>
    <row r="30" spans="1:1" x14ac:dyDescent="0.2">
      <c r="A30" t="s">
        <v>5461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5505</v>
      </c>
    </row>
    <row r="49" spans="1:1" x14ac:dyDescent="0.2">
      <c r="A49" t="s">
        <v>5506</v>
      </c>
    </row>
    <row r="50" spans="1:1" x14ac:dyDescent="0.2">
      <c r="A50" t="s">
        <v>5507</v>
      </c>
    </row>
    <row r="51" spans="1:1" x14ac:dyDescent="0.2">
      <c r="A51" t="s">
        <v>5508</v>
      </c>
    </row>
    <row r="52" spans="1:1" x14ac:dyDescent="0.2">
      <c r="A52" t="s">
        <v>5509</v>
      </c>
    </row>
    <row r="53" spans="1:1" x14ac:dyDescent="0.2">
      <c r="A53" t="s">
        <v>5510</v>
      </c>
    </row>
    <row r="54" spans="1:1" x14ac:dyDescent="0.2">
      <c r="A54" t="s">
        <v>5511</v>
      </c>
    </row>
    <row r="55" spans="1:1" x14ac:dyDescent="0.2">
      <c r="A55" t="s">
        <v>5512</v>
      </c>
    </row>
    <row r="56" spans="1:1" x14ac:dyDescent="0.2">
      <c r="A56" t="s">
        <v>5513</v>
      </c>
    </row>
    <row r="57" spans="1:1" x14ac:dyDescent="0.2">
      <c r="A57" t="s">
        <v>5514</v>
      </c>
    </row>
    <row r="58" spans="1:1" x14ac:dyDescent="0.2">
      <c r="A58" t="s">
        <v>5515</v>
      </c>
    </row>
    <row r="59" spans="1:1" x14ac:dyDescent="0.2">
      <c r="A59" t="s">
        <v>5516</v>
      </c>
    </row>
    <row r="60" spans="1:1" x14ac:dyDescent="0.2">
      <c r="A60" t="s">
        <v>5517</v>
      </c>
    </row>
    <row r="61" spans="1:1" x14ac:dyDescent="0.2">
      <c r="A61" t="s">
        <v>5518</v>
      </c>
    </row>
    <row r="62" spans="1:1" x14ac:dyDescent="0.2">
      <c r="A62" t="s">
        <v>5519</v>
      </c>
    </row>
    <row r="63" spans="1:1" x14ac:dyDescent="0.2">
      <c r="A63" t="s">
        <v>5520</v>
      </c>
    </row>
    <row r="64" spans="1:1" x14ac:dyDescent="0.2">
      <c r="A64" t="s">
        <v>5521</v>
      </c>
    </row>
    <row r="65" spans="1:1" x14ac:dyDescent="0.2">
      <c r="A65" t="s">
        <v>5522</v>
      </c>
    </row>
    <row r="66" spans="1:1" x14ac:dyDescent="0.2">
      <c r="A66" t="s">
        <v>5523</v>
      </c>
    </row>
    <row r="67" spans="1:1" x14ac:dyDescent="0.2">
      <c r="A67" t="s">
        <v>5524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B1" workbookViewId="0">
      <selection activeCell="H19" sqref="H19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73"/>
      <c r="C7" s="173"/>
      <c r="D7" s="173"/>
      <c r="E7" s="173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371</v>
      </c>
      <c r="B10" s="44" t="str">
        <f>IF(LEN(VLOOKUP(A10,'Species List'!$A:$G,2,FALSE))=0,"",VLOOKUP(A10,'Species List'!$A:$G,2,FALSE))</f>
        <v>big bluestem</v>
      </c>
      <c r="C10" s="44">
        <f>IF(LEN(VLOOKUP(A10,'Species List'!$A:$G,3,FALSE))=0,"",VLOOKUP(A10,'Species List'!$A:$G,3,FALSE))</f>
        <v>4</v>
      </c>
      <c r="D10" s="98">
        <f t="shared" ref="D10:D18" si="0">VALUE(C10)</f>
        <v>4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FAC-</v>
      </c>
      <c r="H10" s="44">
        <f>VLOOKUP(A10,'Species List'!$A:$G,7,FALSE)</f>
        <v>0</v>
      </c>
      <c r="J10" s="114">
        <v>4</v>
      </c>
      <c r="K10" s="47" t="str">
        <f>VLOOKUP(J10,'Species List'!$H$1:$J$9,2,FALSE)</f>
        <v>&gt;50-75%</v>
      </c>
      <c r="L10" s="47">
        <f>VLOOKUP(K10,'Species List'!$I$1:$N$8,2,FALSE)</f>
        <v>62.5</v>
      </c>
      <c r="M10" s="99">
        <f t="shared" ref="M10:M76" si="1">VALUE(L10)</f>
        <v>62.5</v>
      </c>
      <c r="N10" s="108">
        <f t="shared" ref="N10:N75" si="2">L10/$L$151</f>
        <v>0.61576354679802958</v>
      </c>
      <c r="O10" s="108">
        <f t="shared" ref="O10:O76" si="3">D10*N10</f>
        <v>2.4630541871921183</v>
      </c>
    </row>
    <row r="11" spans="1:15" ht="13.5" thickBot="1" x14ac:dyDescent="0.25">
      <c r="A11" s="151" t="s">
        <v>4269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14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2.9556650246305417E-2</v>
      </c>
      <c r="O11" s="108">
        <f t="shared" si="3"/>
        <v>5.9113300492610835E-2</v>
      </c>
    </row>
    <row r="12" spans="1:15" ht="13.5" thickBot="1" x14ac:dyDescent="0.25">
      <c r="A12" s="151" t="s">
        <v>752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6</v>
      </c>
      <c r="D12" s="98">
        <f t="shared" si="0"/>
        <v>6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1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107">
        <f t="shared" si="2"/>
        <v>0.14778325123152711</v>
      </c>
      <c r="O12" s="107">
        <f t="shared" si="3"/>
        <v>0.88669950738916259</v>
      </c>
    </row>
    <row r="13" spans="1:15" ht="13.5" thickBot="1" x14ac:dyDescent="0.25">
      <c r="A13" s="151" t="s">
        <v>3403</v>
      </c>
      <c r="B13" s="44" t="str">
        <f>IF(LEN(VLOOKUP(A13,'Species List'!$A:$G,2,FALSE))=0,"",VLOOKUP(A13,'Species List'!$A:$G,2,FALSE))</f>
        <v>Kentucky bluegrass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06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97">
        <f t="shared" si="2"/>
        <v>0.14778325123152711</v>
      </c>
      <c r="O13" s="97">
        <f t="shared" si="3"/>
        <v>0</v>
      </c>
    </row>
    <row r="14" spans="1:15" ht="13.5" thickBot="1" x14ac:dyDescent="0.25">
      <c r="A14" s="151" t="s">
        <v>778</v>
      </c>
      <c r="B14" s="44" t="str">
        <f>IF(LEN(VLOOKUP(A14,'Species List'!$A:$G,2,FALSE))=0,"",VLOOKUP(A14,'Species List'!$A:$G,2,FALSE))</f>
        <v>smooth brome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06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2.9556650246305417E-2</v>
      </c>
      <c r="O14" s="97">
        <f t="shared" si="3"/>
        <v>0</v>
      </c>
    </row>
    <row r="15" spans="1:15" ht="13.5" thickBot="1" x14ac:dyDescent="0.25">
      <c r="A15" s="151" t="s">
        <v>252</v>
      </c>
      <c r="B15" s="44" t="str">
        <f>IF(LEN(VLOOKUP(A15,'Species List'!$A:$G,2,FALSE))=0,"",VLOOKUP(A15,'Species List'!$A:$G,2,FALSE))</f>
        <v>redtop</v>
      </c>
      <c r="C15" s="44">
        <f>IF(LEN(VLOOKUP(A15,'Species List'!$A:$G,3,FALSE))=0,"",VLOOKUP(A15,'Species List'!$A:$G,3,FALSE))</f>
        <v>0</v>
      </c>
      <c r="D15" s="98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[FACW]</v>
      </c>
      <c r="H15" s="44">
        <f>VLOOKUP(A15,'Species List'!$A:$G,7,FALSE)</f>
        <v>0</v>
      </c>
      <c r="J15" s="105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2.9556650246305417E-2</v>
      </c>
      <c r="O15" s="97">
        <f t="shared" si="3"/>
        <v>0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74" t="s">
        <v>4791</v>
      </c>
      <c r="J151" s="175"/>
      <c r="K151" s="176"/>
      <c r="L151" s="63">
        <f>SUMIF(L10:L150,"&gt;=0")</f>
        <v>101.5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7" t="s">
        <v>4779</v>
      </c>
      <c r="B1" s="177"/>
      <c r="C1" s="177"/>
      <c r="D1" s="177"/>
      <c r="E1" s="177"/>
      <c r="F1" s="177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5</v>
      </c>
      <c r="C4" s="101">
        <f>COUNTIF(Forbs!$F$10:$F$147,"Native")</f>
        <v>19</v>
      </c>
      <c r="D4" s="101">
        <f>COUNTIF(Grasses!$F$10:$F$149,"Native")</f>
        <v>3</v>
      </c>
      <c r="E4" s="101">
        <f>AVERAGE(B4:D4)</f>
        <v>9</v>
      </c>
      <c r="F4" s="101">
        <f>SUM(B4:D4)</f>
        <v>27</v>
      </c>
    </row>
    <row r="5" spans="1:6" ht="18" x14ac:dyDescent="0.25">
      <c r="A5" s="53" t="s">
        <v>4784</v>
      </c>
      <c r="B5" s="101">
        <f>COUNTIF(Woody!$F10:$F199,"Introduced")</f>
        <v>3</v>
      </c>
      <c r="C5" s="101">
        <f>COUNTIF(Forbs!$F10:$F198,"Introduced")</f>
        <v>6</v>
      </c>
      <c r="D5" s="101">
        <f>COUNTIF(Grasses!$F10:$F199,"Introduced")</f>
        <v>3</v>
      </c>
      <c r="E5" s="101">
        <f t="shared" ref="E5:E6" si="0">AVERAGE(B5:D5)</f>
        <v>4</v>
      </c>
      <c r="F5" s="101">
        <f>SUM(B5:D5)</f>
        <v>12</v>
      </c>
    </row>
    <row r="6" spans="1:6" s="81" customFormat="1" ht="21" x14ac:dyDescent="0.35">
      <c r="A6" s="53" t="s">
        <v>4826</v>
      </c>
      <c r="B6" s="101">
        <f>SUM(B4:B5)</f>
        <v>8</v>
      </c>
      <c r="C6" s="101">
        <f>SUM(C4:C5)</f>
        <v>25</v>
      </c>
      <c r="D6" s="101">
        <f>SUM(D4:D5)</f>
        <v>6</v>
      </c>
      <c r="E6" s="101">
        <f t="shared" si="0"/>
        <v>13</v>
      </c>
      <c r="F6" s="101">
        <f>SUM(B6:D6)</f>
        <v>39</v>
      </c>
    </row>
    <row r="7" spans="1:6" ht="18" x14ac:dyDescent="0.25">
      <c r="A7" s="53" t="s">
        <v>4785</v>
      </c>
      <c r="B7" s="101">
        <f>AVERAGEIF(Woody!D10:D150,"&gt;0")</f>
        <v>2.6</v>
      </c>
      <c r="C7" s="101">
        <f>AVERAGEIF(Forbs!D10:D149,"&gt;0")</f>
        <v>2.8666666666666667</v>
      </c>
      <c r="D7" s="101">
        <f>AVERAGEIF(Grasses!D10:D150,"&gt;0")</f>
        <v>4</v>
      </c>
      <c r="E7" s="101">
        <f>AVERAGE(B7:D7)</f>
        <v>3.1555555555555554</v>
      </c>
      <c r="F7" s="101">
        <f>(SUMIF(Woody!D10:D150,"&gt;0")+SUMIF(Forbs!D10:D149,"&gt;0")+SUMIF(Grasses!D10:D150,"&gt;0"))/(COUNTIF(Woody!D10:D150,"&gt;0")+COUNTIF(Forbs!D10:D149,"&gt;0")+COUNTIF(Grasses!D10:D150,"&gt;0"))</f>
        <v>2.9565217391304346</v>
      </c>
    </row>
    <row r="8" spans="1:6" s="31" customFormat="1" ht="21" x14ac:dyDescent="0.35">
      <c r="A8" s="53" t="s">
        <v>4827</v>
      </c>
      <c r="B8" s="101">
        <f>AVERAGEIF(Woody!D10:D150,"&gt;=0")</f>
        <v>1.625</v>
      </c>
      <c r="C8" s="101">
        <f>AVERAGEIF(Forbs!D10:D149,"&gt;=0")</f>
        <v>1.72</v>
      </c>
      <c r="D8" s="101">
        <f>AVERAGEIF(Grasses!D10:D150,"&gt;=0")</f>
        <v>2</v>
      </c>
      <c r="E8" s="101">
        <f>AVERAGE(B8:D8)</f>
        <v>1.7816666666666665</v>
      </c>
      <c r="F8" s="101">
        <f>(SUMIF(Woody!D10:D150,"&gt;=0")+SUMIF(Forbs!D10:D149,"&gt;=0")+SUMIF(Grasses!D10:D150,"&gt;=0"))/(COUNTIF(Woody!D10:D150,"&gt;=0")+COUNTIF(Forbs!D10:D149,"&gt;=0")+COUNTIF(Grasses!D10:D150,"&gt;=0"))</f>
        <v>1.7435897435897436</v>
      </c>
    </row>
    <row r="9" spans="1:6" ht="18" x14ac:dyDescent="0.25">
      <c r="A9" s="53" t="s">
        <v>4778</v>
      </c>
      <c r="B9" s="101">
        <f>SQRT(B4)*B7</f>
        <v>5.8137767414994537</v>
      </c>
      <c r="C9" s="101">
        <f>SQRT(C4)*C7</f>
        <v>12.495510304816598</v>
      </c>
      <c r="D9" s="101">
        <f>SQRT(D4)*D7</f>
        <v>6.9282032302755088</v>
      </c>
      <c r="E9" s="101">
        <f>SQRT(E4)*E7</f>
        <v>9.4666666666666668</v>
      </c>
      <c r="F9" s="101">
        <f>SQRT(F4)*F7</f>
        <v>15.362537597567433</v>
      </c>
    </row>
    <row r="10" spans="1:6" s="82" customFormat="1" ht="21" x14ac:dyDescent="0.35">
      <c r="A10" s="53" t="s">
        <v>4828</v>
      </c>
      <c r="B10" s="101">
        <f>SQRT(B6)*B8</f>
        <v>4.5961940777125596</v>
      </c>
      <c r="C10" s="101">
        <f>SQRT(C6)*C8</f>
        <v>8.6</v>
      </c>
      <c r="D10" s="101">
        <f>SQRT(D6)*D8</f>
        <v>4.8989794855663558</v>
      </c>
      <c r="E10" s="101">
        <f>SQRT(E6)*E8</f>
        <v>6.4238905224516731</v>
      </c>
      <c r="F10" s="101">
        <f>SQRT(F6)*F8</f>
        <v>10.888714458745925</v>
      </c>
    </row>
    <row r="11" spans="1:6" ht="18" x14ac:dyDescent="0.25">
      <c r="A11" s="53" t="s">
        <v>4786</v>
      </c>
      <c r="B11" s="101">
        <f>SUMIF(Woody!$M$10:$M$150,"&gt;=0")</f>
        <v>19</v>
      </c>
      <c r="C11" s="101">
        <f>SUMIF(Forbs!$M$10:$M$150,"&gt;=0")</f>
        <v>142.5</v>
      </c>
      <c r="D11" s="101">
        <f>SUMIF(Grasses!$M$10:$M$150,"&gt;=0")</f>
        <v>101.5</v>
      </c>
      <c r="E11" s="101">
        <f>AVERAGE(B11:D11)</f>
        <v>87.666666666666671</v>
      </c>
      <c r="F11" s="101">
        <f>SUM(B11:D11)</f>
        <v>263</v>
      </c>
    </row>
    <row r="12" spans="1:6" ht="18" x14ac:dyDescent="0.25">
      <c r="A12" s="53" t="s">
        <v>4792</v>
      </c>
      <c r="B12" s="101">
        <f>SUMIF(Woody!$F$10:$F$150,"Introduced",Woody!$L$10:$L$150)</f>
        <v>6.5</v>
      </c>
      <c r="C12" s="101">
        <f>SUMIF(Forbs!$F$10:$F$150,"Introduced",Forbs!$L$10:$L$150)</f>
        <v>27.5</v>
      </c>
      <c r="D12" s="101">
        <f>SUMIF(Grasses!$F$10:$F$150,"Introduced",Grasses!$L$10:$L$150)</f>
        <v>21</v>
      </c>
      <c r="E12" s="101">
        <f>AVERAGE(B12:D12)</f>
        <v>18.333333333333332</v>
      </c>
      <c r="F12" s="101">
        <f>SUM(B12:D12)</f>
        <v>55</v>
      </c>
    </row>
    <row r="13" spans="1:6" ht="18.75" thickBot="1" x14ac:dyDescent="0.3">
      <c r="A13" s="54" t="s">
        <v>4787</v>
      </c>
      <c r="B13" s="102">
        <f>B12/B11</f>
        <v>0.34210526315789475</v>
      </c>
      <c r="C13" s="102">
        <f>C12/C11</f>
        <v>0.19298245614035087</v>
      </c>
      <c r="D13" s="102">
        <f>D12/D11</f>
        <v>0.20689655172413793</v>
      </c>
      <c r="E13" s="102">
        <f>E12/E11</f>
        <v>0.20912547528517109</v>
      </c>
      <c r="F13" s="102">
        <f>F12/F11</f>
        <v>0.20912547528517111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1.7894736842105263</v>
      </c>
      <c r="C15" s="100">
        <f>SUMIF(Forbs!$O$10:$O$149,"&gt;=0")</f>
        <v>1.4245614035087721</v>
      </c>
      <c r="D15" s="100">
        <f>SUMIF(Grasses!$O$10:$O$150,"&gt;=0")</f>
        <v>3.4088669950738915</v>
      </c>
      <c r="E15" s="100">
        <f>AVERAGE(B15:D15)</f>
        <v>2.20763402759773</v>
      </c>
      <c r="F15" s="101">
        <f>SUM(B15:D15)</f>
        <v>6.6229020827931899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SiteList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2025-11-25T03:17:27Z</dcterms:modified>
</cp:coreProperties>
</file>