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97381D45-1CAD-40FF-ABFA-AF9C58E363BA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B12" i="9" l="1"/>
  <c r="C17" i="6" l="1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20" i="9"/>
  <c r="C21" i="9"/>
  <c r="C22" i="9"/>
  <c r="C2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C12" i="9"/>
  <c r="D12" i="9" s="1"/>
  <c r="E12" i="9"/>
  <c r="F12" i="9"/>
  <c r="G12" i="9"/>
  <c r="H12" i="9"/>
  <c r="K12" i="9"/>
  <c r="L12" i="9" s="1"/>
  <c r="M12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49" i="9"/>
  <c r="L49" i="9" s="1"/>
  <c r="M49" i="9" s="1"/>
  <c r="H49" i="9"/>
  <c r="G49" i="9"/>
  <c r="F49" i="9"/>
  <c r="E49" i="9"/>
  <c r="C49" i="9"/>
  <c r="D49" i="9" s="1"/>
  <c r="B49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29" i="9"/>
  <c r="O29" i="9" s="1"/>
  <c r="N22" i="9"/>
  <c r="O22" i="9" s="1"/>
  <c r="N26" i="9"/>
  <c r="O26" i="9" s="1"/>
  <c r="N20" i="9"/>
  <c r="O20" i="9" s="1"/>
  <c r="N12" i="9"/>
  <c r="O12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<sst xmlns="http://schemas.openxmlformats.org/spreadsheetml/2006/main" count="13372" uniqueCount="5527">
  <si>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</si>
  <si>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</si>
  <si>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</si>
  <si>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</si>
  <si>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</si>
  <si>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</si>
  <si>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</si>
  <si>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</si>
  <si>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</si>
  <si>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</si>
  <si>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</si>
  <si>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</si>
  <si>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</si>
  <si>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</si>
  <si>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</si>
  <si>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</si>
  <si>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</si>
  <si>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</si>
  <si>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</si>
  <si>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</si>
  <si>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</si>
  <si>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</si>
  <si>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</si>
  <si>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</si>
  <si>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</si>
  <si>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</si>
  <si>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</si>
  <si>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</si>
  <si>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</si>
  <si>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</si>
  <si>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</si>
  <si>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</si>
  <si>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</si>
  <si>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</si>
  <si>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</si>
  <si>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</si>
  <si>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</si>
  <si>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</si>
  <si>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</si>
  <si>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</si>
  <si>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</si>
  <si>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</si>
  <si>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</si>
  <si>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</si>
  <si>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</si>
  <si>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</si>
  <si>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</si>
  <si>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</si>
  <si>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</si>
  <si>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</si>
  <si>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</si>
  <si>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</si>
  <si>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</si>
  <si>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</si>
  <si>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</si>
  <si>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</si>
  <si>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</si>
  <si>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</si>
  <si>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</si>
  <si>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</si>
  <si>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</si>
  <si>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</si>
  <si>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</si>
  <si>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</si>
  <si>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</si>
  <si>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</si>
  <si>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</si>
  <si>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</si>
  <si>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</si>
  <si>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</si>
  <si>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</si>
  <si>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</si>
  <si>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</si>
  <si>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</si>
  <si>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</si>
  <si>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</si>
  <si>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</si>
  <si>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</si>
  <si>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</si>
  <si>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</si>
  <si>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</si>
  <si>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</si>
  <si>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</si>
  <si>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</si>
  <si>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</si>
  <si>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</si>
  <si>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</si>
  <si>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</si>
  <si>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</si>
  <si>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</si>
  <si>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</si>
  <si>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</si>
  <si>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</si>
  <si>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</si>
  <si>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</si>
  <si>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</si>
  <si>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</si>
  <si>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</si>
  <si>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</si>
  <si>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</si>
  <si>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</si>
  <si>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</si>
  <si>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</si>
  <si>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</si>
  <si>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</si>
  <si>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</si>
  <si>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</si>
  <si>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</si>
  <si>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</si>
  <si>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</si>
  <si>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</si>
  <si>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</si>
  <si>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</si>
  <si>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</si>
  <si>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</si>
  <si>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</si>
  <si>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</si>
  <si>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</si>
  <si>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</si>
  <si>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</si>
  <si>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</si>
  <si>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</si>
  <si>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</si>
  <si>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</si>
  <si>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</si>
  <si>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</si>
  <si>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</si>
  <si>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</si>
  <si>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</si>
  <si>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</si>
  <si>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</si>
  <si>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</si>
  <si>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</si>
  <si>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</si>
  <si>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</si>
  <si>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</si>
  <si>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</si>
  <si>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</si>
  <si>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</si>
  <si>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</si>
  <si>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</si>
  <si>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</si>
  <si>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</si>
  <si>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</si>
  <si>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</si>
  <si>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</si>
  <si>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</si>
  <si>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</si>
  <si>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</si>
  <si>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</si>
  <si>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</si>
  <si>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</si>
  <si>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</si>
  <si>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</si>
  <si>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</si>
  <si>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</si>
  <si>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</si>
  <si>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</si>
  <si>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</si>
  <si>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</si>
  <si>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</si>
  <si>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</si>
  <si>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</si>
  <si>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</si>
  <si>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</si>
  <si>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</si>
  <si>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</si>
  <si>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</si>
  <si>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</si>
  <si>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</si>
  <si>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</si>
  <si>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</si>
  <si>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</si>
  <si>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</si>
  <si>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</si>
  <si>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</si>
  <si>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</si>
  <si>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</si>
  <si>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</si>
  <si>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</si>
  <si>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</si>
  <si>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</si>
  <si>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</si>
  <si>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</si>
  <si>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</si>
  <si>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</si>
  <si>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</si>
  <si>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</si>
  <si>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</si>
  <si>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</si>
  <si>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</si>
  <si>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</si>
  <si>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</si>
  <si>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</si>
  <si>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</si>
  <si>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</si>
  <si>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</si>
  <si>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</si>
  <si>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</si>
  <si>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</si>
  <si>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</si>
  <si>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</si>
  <si>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</si>
  <si>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</si>
  <si>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</si>
  <si>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</si>
  <si>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</si>
  <si>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</si>
  <si>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</si>
  <si>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</si>
  <si>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</si>
  <si>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</si>
  <si>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</si>
  <si>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</si>
  <si>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</si>
  <si>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</si>
  <si>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</si>
  <si>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</si>
  <si>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</si>
  <si>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</si>
  <si>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</si>
  <si>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</si>
  <si>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</si>
  <si>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</si>
  <si>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</si>
  <si>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</si>
  <si>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</si>
  <si>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</si>
  <si>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</si>
  <si>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</si>
  <si>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</si>
  <si>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</si>
  <si>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</si>
  <si>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</si>
  <si>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</si>
  <si>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</si>
  <si>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</si>
  <si>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</si>
  <si>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</si>
  <si>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</si>
  <si>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</si>
  <si>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</si>
  <si>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</si>
  <si>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</si>
  <si>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</si>
  <si>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</si>
  <si>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</si>
  <si>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</si>
  <si>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</si>
  <si>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</si>
  <si>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</si>
  <si>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</si>
  <si>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</si>
  <si>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</si>
  <si>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</si>
  <si>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</si>
  <si>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</si>
  <si>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</si>
  <si>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</si>
  <si>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</si>
  <si>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</si>
  <si>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</si>
  <si>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</si>
  <si>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</si>
  <si>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</si>
  <si>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</si>
  <si>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</si>
  <si>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</si>
  <si>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</si>
  <si>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</si>
  <si>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</si>
  <si>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</si>
  <si>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</si>
  <si>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</si>
  <si>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</si>
  <si>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</si>
  <si>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</si>
  <si>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</si>
  <si>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</si>
  <si>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</si>
  <si>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</si>
  <si>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</si>
  <si>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</si>
  <si>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</si>
  <si>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</si>
  <si>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</si>
  <si>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</si>
  <si>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</si>
  <si>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</si>
  <si>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</si>
  <si>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</si>
  <si>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</si>
  <si>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</si>
  <si>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</si>
  <si>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</si>
  <si>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</si>
  <si>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</si>
  <si>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</si>
  <si>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</si>
  <si>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</si>
  <si>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</si>
  <si>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</si>
  <si>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</si>
  <si>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</si>
  <si>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</si>
  <si>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</si>
  <si>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</si>
  <si>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</si>
  <si>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</si>
  <si>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</si>
  <si>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</si>
  <si>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</si>
  <si>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</si>
  <si>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</si>
  <si>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</si>
  <si>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</si>
  <si>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</si>
  <si>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</si>
  <si>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</si>
  <si>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</si>
  <si>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</si>
  <si>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</si>
  <si>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</si>
  <si>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</si>
  <si>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</si>
  <si>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</si>
  <si>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</si>
  <si>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</si>
  <si>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</si>
  <si>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</si>
  <si>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</si>
  <si>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</si>
  <si>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</si>
  <si>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</si>
  <si>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</si>
  <si>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</si>
  <si>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</si>
  <si>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</si>
  <si>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</si>
  <si>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</si>
  <si>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</si>
  <si>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</si>
  <si>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</si>
  <si>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</si>
  <si>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</si>
  <si>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</si>
  <si>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</si>
  <si>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</si>
  <si>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</si>
  <si>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</si>
  <si>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</si>
  <si>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</si>
  <si>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</si>
  <si>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</si>
  <si>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</si>
  <si>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</si>
  <si>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</si>
  <si>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</si>
  <si>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</si>
  <si>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</si>
  <si>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</si>
  <si>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</si>
  <si>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</si>
  <si>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</si>
  <si>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</si>
  <si>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</si>
  <si>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</si>
  <si>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</si>
  <si>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</si>
  <si>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</si>
  <si>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</si>
  <si>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</si>
  <si>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</si>
  <si>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</si>
  <si>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</si>
  <si>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</si>
  <si>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</si>
  <si>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</si>
  <si>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</si>
  <si>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</si>
  <si>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</si>
  <si>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</si>
  <si>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</si>
  <si>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</si>
  <si>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</si>
  <si>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</si>
  <si>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</si>
  <si>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</si>
  <si>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</si>
  <si>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</si>
  <si>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</si>
  <si>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</si>
  <si>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</si>
  <si>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</si>
  <si>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</si>
  <si>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</si>
  <si>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</si>
  <si>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</si>
  <si>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</si>
  <si>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</si>
  <si>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</si>
  <si>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</si>
  <si>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</si>
  <si>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</si>
  <si>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</si>
  <si>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</si>
  <si>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</si>
  <si>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</si>
  <si>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</si>
  <si>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</si>
  <si>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</si>
  <si>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</si>
  <si>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</si>
  <si>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</si>
  <si>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</si>
  <si>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</si>
  <si>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</si>
  <si>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</si>
  <si>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</si>
  <si>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</si>
  <si>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</si>
  <si>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</si>
  <si>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</si>
  <si>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</si>
  <si>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</si>
  <si>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</si>
  <si>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</si>
  <si>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</si>
  <si>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</si>
  <si>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</si>
  <si>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</si>
  <si>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</si>
  <si>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</si>
  <si>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</si>
  <si>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</si>
  <si>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</si>
  <si>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</si>
  <si>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</si>
  <si>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</si>
  <si>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</si>
  <si>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</si>
  <si>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</si>
  <si>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</si>
  <si>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</si>
  <si>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</si>
  <si>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</si>
  <si>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</si>
  <si>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</si>
  <si>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</si>
  <si>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</si>
  <si>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</si>
  <si>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</si>
  <si>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</si>
  <si>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</si>
  <si>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</si>
  <si>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</si>
  <si>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</si>
  <si>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</si>
  <si>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</si>
  <si>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</si>
  <si>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</si>
  <si>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</si>
  <si>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</si>
  <si>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</si>
  <si>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</si>
  <si>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</si>
  <si>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</si>
  <si>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</si>
  <si>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</si>
  <si>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</si>
  <si>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</si>
  <si>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</si>
  <si>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</si>
  <si>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</si>
  <si>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</si>
  <si>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</si>
  <si>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</si>
  <si>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</si>
  <si>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</si>
  <si>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</si>
  <si>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</si>
  <si>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</si>
  <si>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</si>
  <si>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</si>
  <si>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</si>
  <si>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</si>
  <si>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</si>
  <si>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</si>
  <si>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</si>
  <si>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</si>
  <si>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</si>
  <si>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</si>
  <si>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</si>
  <si>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</si>
  <si>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</si>
  <si>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</si>
  <si>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</si>
  <si>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</si>
  <si>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</si>
  <si>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</si>
  <si>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</si>
  <si>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</si>
  <si>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</si>
  <si>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</si>
  <si>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</si>
  <si>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</si>
  <si>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</si>
  <si>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</si>
  <si>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</si>
  <si>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</si>
  <si>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</si>
  <si>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</si>
  <si>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</si>
  <si>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</si>
  <si>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</si>
  <si>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</si>
  <si>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</si>
  <si>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</si>
  <si>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</si>
  <si>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</si>
  <si>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</si>
  <si>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</si>
  <si>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</si>
  <si>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</si>
  <si>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</si>
  <si>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</si>
  <si>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</si>
  <si>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</si>
  <si>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</si>
  <si>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</si>
  <si>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</si>
  <si>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</si>
  <si>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</si>
  <si>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</si>
  <si>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</si>
  <si>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</si>
  <si>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</si>
  <si>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</si>
  <si>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</si>
  <si>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</si>
  <si>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</si>
  <si>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</si>
  <si>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</si>
  <si>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</si>
  <si>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</si>
  <si>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</si>
  <si>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</si>
  <si>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</si>
  <si>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</si>
  <si>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</si>
  <si>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</si>
  <si>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</si>
  <si>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</si>
  <si>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</si>
  <si>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</si>
  <si>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</si>
  <si>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</si>
  <si>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</si>
  <si>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</si>
  <si>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</si>
  <si>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</si>
  <si>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</si>
  <si>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</si>
  <si>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</si>
  <si>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</si>
  <si>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</si>
  <si>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</si>
  <si>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</si>
  <si>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</si>
  <si>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</si>
  <si>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</si>
  <si>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</si>
  <si>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</si>
  <si>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</si>
  <si>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</si>
  <si>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</si>
  <si>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</si>
  <si>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</si>
  <si>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</si>
  <si>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</si>
  <si>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</si>
  <si>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</si>
  <si>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</si>
  <si>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</si>
  <si>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</si>
  <si>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</si>
  <si>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</si>
  <si>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</si>
  <si>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</si>
  <si>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</si>
  <si>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</si>
  <si>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</si>
  <si>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</si>
  <si>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</si>
  <si>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</si>
  <si>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</si>
  <si>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</si>
  <si>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</si>
  <si>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</si>
  <si>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</si>
  <si>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</si>
  <si>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</si>
  <si>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</si>
  <si>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</si>
  <si>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</si>
  <si>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</si>
  <si>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</si>
  <si>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</si>
  <si>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</si>
  <si>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</si>
  <si>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</si>
  <si>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</si>
  <si>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</si>
  <si>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</si>
  <si>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</si>
  <si>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</si>
  <si>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</si>
  <si>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</si>
  <si>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</si>
  <si>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</si>
  <si>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</si>
  <si>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</si>
  <si>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</si>
  <si>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</si>
  <si>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</si>
  <si>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</si>
  <si>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</si>
  <si>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</si>
  <si>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</si>
  <si>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</si>
  <si>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</si>
  <si>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</si>
  <si>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</si>
  <si>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</si>
  <si>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</si>
  <si>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</si>
  <si>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</si>
  <si>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</si>
  <si>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</si>
  <si>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</si>
  <si>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</si>
  <si>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</si>
  <si>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</si>
  <si>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</si>
  <si>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</si>
  <si>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</si>
  <si>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</si>
  <si>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</si>
  <si>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</si>
  <si>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</si>
  <si>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</si>
  <si>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</si>
  <si>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</si>
  <si>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</si>
  <si>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</si>
  <si>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</si>
  <si>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</si>
  <si>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</si>
  <si>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</si>
  <si>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</si>
  <si>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</si>
  <si>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</si>
  <si>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</si>
  <si>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</si>
  <si>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</si>
  <si>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</si>
  <si>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</si>
  <si>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</si>
  <si>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</si>
  <si>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</si>
  <si>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</si>
  <si>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</si>
  <si>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</si>
  <si>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</si>
  <si>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</si>
  <si>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</si>
  <si>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</si>
  <si>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</si>
  <si>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</si>
  <si>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</si>
  <si>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</si>
  <si>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</si>
  <si>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</si>
  <si>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</si>
  <si>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</si>
  <si>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</si>
  <si>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</si>
  <si>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</si>
  <si>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</si>
  <si>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</si>
  <si>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</si>
  <si>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</si>
  <si>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</si>
  <si>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</si>
  <si>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</si>
  <si>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</si>
  <si>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</si>
  <si>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</si>
  <si>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</si>
  <si>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</si>
  <si>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</si>
  <si>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</si>
  <si>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</si>
  <si>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</si>
  <si>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</si>
  <si>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</si>
  <si>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</si>
  <si>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</si>
  <si>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</si>
  <si>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</si>
  <si>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</si>
  <si>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</si>
  <si>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</si>
  <si>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</si>
  <si>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</si>
  <si>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</si>
  <si>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</si>
  <si>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</si>
  <si>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</si>
  <si>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</si>
  <si>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</si>
  <si>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</si>
  <si>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</si>
  <si>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</si>
  <si>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</si>
  <si>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</si>
  <si>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</si>
  <si>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</si>
  <si>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</si>
  <si>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</si>
  <si>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</si>
  <si>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</si>
  <si>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</si>
  <si>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</si>
  <si>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</si>
  <si>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</si>
  <si>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</si>
  <si>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</si>
  <si>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</si>
  <si>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</si>
  <si>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</si>
  <si>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</si>
  <si>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</si>
  <si>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</si>
  <si>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</si>
  <si>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</si>
  <si>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</si>
  <si>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</si>
  <si>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</si>
  <si>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</si>
  <si>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</si>
  <si>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</si>
  <si>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</si>
  <si>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</si>
  <si>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</si>
  <si>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</si>
  <si>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</si>
  <si>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</si>
  <si>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</si>
  <si>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</si>
  <si>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</si>
  <si>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</si>
  <si>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</si>
  <si>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</si>
  <si>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</si>
  <si>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</si>
  <si>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</si>
  <si>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</si>
  <si>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</si>
  <si>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</si>
  <si>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</si>
  <si>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</si>
  <si>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</si>
  <si>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</si>
  <si>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</si>
  <si>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</si>
  <si>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</si>
  <si>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</si>
  <si>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</si>
  <si>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</si>
  <si>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</si>
  <si>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</si>
  <si>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</si>
  <si>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</si>
  <si>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</si>
  <si>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</si>
  <si>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</si>
  <si>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</si>
  <si>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</si>
  <si>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</si>
  <si>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</si>
  <si>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</si>
  <si>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</si>
  <si>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</si>
  <si>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</si>
  <si>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</si>
  <si>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</si>
  <si>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</si>
  <si>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</si>
  <si>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</si>
  <si>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</si>
  <si>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</si>
  <si>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</si>
  <si>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</si>
  <si>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</si>
  <si>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</si>
  <si>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</si>
  <si>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</si>
  <si>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</si>
  <si>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</si>
  <si>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</si>
  <si>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</si>
  <si>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</si>
  <si>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</si>
  <si>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</si>
  <si>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</si>
  <si>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</si>
  <si>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</si>
  <si>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</si>
  <si>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</si>
  <si>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</si>
  <si>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</si>
  <si>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</si>
  <si>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</si>
  <si>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</si>
  <si>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</si>
  <si>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</si>
  <si>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</si>
  <si>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</si>
  <si>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</si>
  <si>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</si>
  <si>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</si>
  <si>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</si>
  <si>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</si>
  <si>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</si>
  <si>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</si>
  <si>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</si>
  <si>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</si>
  <si>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</si>
  <si>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</si>
  <si>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</si>
  <si>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</si>
  <si>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</si>
  <si>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</si>
  <si>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</si>
  <si>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</si>
  <si>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</si>
  <si>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</si>
  <si>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</si>
  <si>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</si>
  <si>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</si>
  <si>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</si>
  <si>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</si>
  <si>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</si>
  <si>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</si>
  <si>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</si>
  <si>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</si>
  <si>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</si>
  <si>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</si>
  <si>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</si>
  <si>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</si>
  <si>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</si>
  <si>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</si>
  <si>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</si>
  <si>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</si>
  <si>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</si>
  <si>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</si>
  <si>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</si>
  <si>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</si>
  <si>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</si>
  <si>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</si>
  <si>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</si>
  <si>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</si>
  <si>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</si>
  <si>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</si>
  <si>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</si>
  <si>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</si>
  <si>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</si>
  <si>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</si>
  <si>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</si>
  <si>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</si>
  <si>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</si>
  <si>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</si>
  <si>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</si>
  <si>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</si>
  <si>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</si>
  <si>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</si>
  <si>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</si>
  <si>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</si>
  <si>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</si>
  <si>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</si>
  <si>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</si>
  <si>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</si>
  <si>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</si>
  <si>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</si>
  <si>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</si>
  <si>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</si>
  <si>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</si>
  <si>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</si>
  <si>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</si>
  <si>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</si>
  <si>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</si>
  <si>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</si>
  <si>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</si>
  <si>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</si>
  <si>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</si>
  <si>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</si>
  <si>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</si>
  <si>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</si>
  <si>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</si>
  <si>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</si>
  <si>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</si>
  <si>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</si>
  <si>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</si>
  <si>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</si>
  <si>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</si>
  <si>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</si>
  <si>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</si>
  <si>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</si>
  <si>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</si>
  <si>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</si>
  <si>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</si>
  <si>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</si>
  <si>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</si>
  <si>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</si>
  <si>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</si>
  <si>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</si>
  <si>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</si>
  <si>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</si>
  <si>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</si>
  <si>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</si>
  <si>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</si>
  <si>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</si>
  <si>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</si>
  <si>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</si>
  <si>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</si>
  <si>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</si>
  <si>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</si>
  <si>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</si>
  <si>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</si>
  <si>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</si>
  <si>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</si>
  <si>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</si>
  <si>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</si>
  <si>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</si>
  <si>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</si>
  <si>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</si>
  <si>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</si>
  <si>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</si>
  <si>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</si>
  <si>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</si>
  <si>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</si>
  <si>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</si>
  <si>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</si>
  <si>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</si>
  <si>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</si>
  <si>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</si>
  <si>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</si>
  <si>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</si>
  <si>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</si>
  <si>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</si>
  <si>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</si>
  <si>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</si>
  <si>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</si>
  <si>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</si>
  <si>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</si>
  <si>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</si>
  <si>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</si>
  <si>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</si>
  <si>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</si>
  <si>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</si>
  <si>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</si>
  <si>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</si>
  <si>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</si>
  <si>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</si>
  <si>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</si>
  <si>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</si>
  <si>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</si>
  <si>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</si>
  <si>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</si>
  <si>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</si>
  <si>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</si>
  <si>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</si>
  <si>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</si>
  <si>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</si>
  <si>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</si>
  <si>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</si>
  <si>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</si>
  <si>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</si>
  <si>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</si>
  <si>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</si>
  <si>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</si>
  <si>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</si>
  <si>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</si>
  <si>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</si>
  <si>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</si>
  <si>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</si>
  <si>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</si>
  <si>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</si>
  <si>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</si>
  <si>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</si>
  <si>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</si>
  <si>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</si>
  <si>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</si>
  <si>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</si>
  <si>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</si>
  <si>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</si>
  <si>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</si>
  <si>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</si>
  <si>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</si>
  <si>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</si>
  <si>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</si>
  <si>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</si>
  <si>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</si>
  <si>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</si>
  <si>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</si>
  <si>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</si>
  <si>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</si>
  <si>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</si>
  <si>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</si>
  <si>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</si>
  <si>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</si>
  <si>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</si>
  <si>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</si>
  <si>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</si>
  <si>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</si>
  <si>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</si>
  <si>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</si>
  <si>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</si>
  <si>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</si>
  <si>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</si>
  <si>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</si>
  <si>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</si>
  <si>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</si>
  <si>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</si>
  <si>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</si>
  <si>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</si>
  <si>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</si>
  <si>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</si>
  <si>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</si>
  <si>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</si>
  <si>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</si>
  <si>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</si>
  <si>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</si>
  <si>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</si>
  <si>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</si>
  <si>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</si>
  <si>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</si>
  <si>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</si>
  <si>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</si>
  <si>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</si>
  <si>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</si>
  <si>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</si>
  <si>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</si>
  <si>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</si>
  <si>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</si>
  <si>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</si>
  <si>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</si>
  <si>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</si>
  <si>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</si>
  <si>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</si>
  <si>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</si>
  <si>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</si>
  <si>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</si>
  <si>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</si>
  <si>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</si>
  <si>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</si>
  <si>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</si>
  <si>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</si>
  <si>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</si>
  <si>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</si>
  <si>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</si>
  <si>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</si>
  <si>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</si>
  <si>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</si>
  <si>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</si>
  <si>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</si>
  <si>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</si>
  <si>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</si>
  <si>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</si>
  <si>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</si>
  <si>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</si>
  <si>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</si>
  <si>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</si>
  <si>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</si>
  <si>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</si>
  <si>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</si>
  <si>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</si>
  <si>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</si>
  <si>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</si>
  <si>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</si>
  <si>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</si>
  <si>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</si>
  <si>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</si>
  <si>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</si>
  <si>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</si>
  <si>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</si>
  <si>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</si>
  <si>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</si>
  <si>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</si>
  <si>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</si>
  <si>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</si>
  <si>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</si>
  <si>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</si>
  <si>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</si>
  <si>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</si>
  <si>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</si>
  <si>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</si>
  <si>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</si>
  <si>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</si>
  <si>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</si>
  <si>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</si>
  <si>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</si>
  <si>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</si>
  <si>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</si>
  <si>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</si>
  <si>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</si>
  <si>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</si>
  <si>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</si>
  <si>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</si>
  <si>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</si>
  <si>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</si>
  <si>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</si>
  <si>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</si>
  <si>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</si>
  <si>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</si>
  <si>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</si>
  <si>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</si>
  <si>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</si>
  <si>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</si>
  <si>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</si>
  <si>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</si>
  <si>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</si>
  <si>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</si>
  <si>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</si>
  <si>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</si>
  <si>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</si>
  <si>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</si>
  <si>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</si>
  <si>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</si>
  <si>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</si>
  <si>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</si>
  <si>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</si>
  <si>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</si>
  <si>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</si>
  <si>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</si>
  <si>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</si>
  <si>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</si>
  <si>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</si>
  <si>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</si>
  <si>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</si>
  <si>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</si>
  <si>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</si>
  <si>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</si>
  <si>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</si>
  <si>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</si>
  <si>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</si>
  <si>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</si>
  <si>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</si>
  <si>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</si>
  <si>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</si>
  <si>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</si>
  <si>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</si>
  <si>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</si>
  <si>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</si>
  <si>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</si>
  <si>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</si>
  <si>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</si>
  <si>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</si>
  <si>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</si>
  <si>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</si>
  <si>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</si>
  <si>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</si>
  <si>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</si>
  <si>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</si>
  <si>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</si>
  <si>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</si>
  <si>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</si>
  <si>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</si>
  <si>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</si>
  <si>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</si>
  <si>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</si>
  <si>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</si>
  <si>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</si>
  <si>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</si>
  <si>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</si>
  <si>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</si>
  <si>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</si>
  <si>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</si>
  <si>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</si>
  <si>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</si>
  <si>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</si>
  <si>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</si>
  <si>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</si>
  <si>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</si>
  <si>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</si>
  <si>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</si>
  <si>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</si>
  <si>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</si>
  <si>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</si>
  <si>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</si>
  <si>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</si>
  <si>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</si>
  <si>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</si>
  <si>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</si>
  <si>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</si>
  <si>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</si>
  <si>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</si>
  <si>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</si>
  <si>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</si>
  <si>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</si>
  <si>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</si>
  <si>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</si>
  <si>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</si>
  <si>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</si>
  <si>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</si>
  <si>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</si>
  <si>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</si>
  <si>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</si>
  <si>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</si>
  <si>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</si>
  <si>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</si>
  <si>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</si>
  <si>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</si>
  <si>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</si>
  <si>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</si>
  <si>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</si>
  <si>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</si>
  <si>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</si>
  <si>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</si>
  <si>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</si>
  <si>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</si>
  <si>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</si>
  <si>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</si>
  <si>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</si>
  <si>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</si>
  <si>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</si>
  <si>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</si>
  <si>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</si>
  <si>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</si>
  <si>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</si>
  <si>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</si>
  <si>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</si>
  <si>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</si>
  <si>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</si>
  <si>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</si>
  <si>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</si>
  <si>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</si>
  <si>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</si>
  <si>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</si>
  <si>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</si>
  <si>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</si>
  <si>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</si>
  <si>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</si>
  <si>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</si>
  <si>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</si>
  <si>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</si>
  <si>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</si>
  <si>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</si>
  <si>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</si>
  <si>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</si>
  <si>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</si>
  <si>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</si>
  <si>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</si>
  <si>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</si>
  <si>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</si>
  <si>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</si>
  <si>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</si>
  <si>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</si>
  <si>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</si>
  <si>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</si>
  <si>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</si>
  <si>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</si>
  <si>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</si>
  <si>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</si>
  <si>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</si>
  <si>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</si>
  <si>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</si>
  <si>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</si>
  <si>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</si>
  <si>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</si>
  <si>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</si>
  <si>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</si>
  <si>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</si>
  <si>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</si>
  <si>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</si>
  <si>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</si>
  <si>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</si>
  <si>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</si>
  <si>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</si>
  <si>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</si>
  <si>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</si>
  <si>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</si>
  <si>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</si>
  <si>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</si>
  <si>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</si>
  <si>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</si>
  <si>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</si>
  <si>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</si>
  <si>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</si>
  <si>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</si>
  <si>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</si>
  <si>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</si>
  <si>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</si>
  <si>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</si>
  <si>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</si>
  <si>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</si>
  <si>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</si>
  <si>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</si>
  <si>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</si>
  <si>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</si>
  <si>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</si>
  <si>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</si>
  <si>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</si>
  <si>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</si>
  <si>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</si>
  <si>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</si>
  <si>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</si>
  <si>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</si>
  <si>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</si>
  <si>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</si>
  <si>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</si>
  <si>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</si>
  <si>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</si>
  <si>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</si>
  <si>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</si>
  <si>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</si>
  <si>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</si>
  <si>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</si>
  <si>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</si>
  <si>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</si>
  <si>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</si>
  <si>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</si>
  <si>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</si>
  <si>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</si>
  <si>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</si>
  <si>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</si>
  <si>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</si>
  <si>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</si>
  <si>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</si>
  <si>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</si>
  <si>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</si>
  <si>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</si>
  <si>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</si>
  <si>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</si>
  <si>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</si>
  <si>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</si>
  <si>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</si>
  <si>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</si>
  <si>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</si>
  <si>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</si>
  <si>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</si>
  <si>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</si>
  <si>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</si>
  <si>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</si>
  <si>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</si>
  <si>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</si>
  <si>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</si>
  <si>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</si>
  <si>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</si>
  <si>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</si>
  <si>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</si>
  <si>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</si>
  <si>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</si>
  <si>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</si>
  <si>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</si>
  <si>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</si>
  <si>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</si>
  <si>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</si>
  <si>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</si>
  <si>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</si>
  <si>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</si>
  <si>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</si>
  <si>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</si>
  <si>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</si>
  <si>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</si>
  <si>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</si>
  <si>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</si>
  <si>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</si>
  <si>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</si>
  <si>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</si>
  <si>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</si>
  <si>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</si>
  <si>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</si>
  <si>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</si>
  <si>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</si>
  <si>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</si>
  <si>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</si>
  <si>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</si>
  <si>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</si>
  <si>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</si>
  <si>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</si>
  <si>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</si>
  <si>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</si>
  <si>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</si>
  <si>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</si>
  <si>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</si>
  <si>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</si>
  <si>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</si>
  <si>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</si>
  <si>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</si>
  <si>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</si>
  <si>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</si>
  <si>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</si>
  <si>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</si>
  <si>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</si>
  <si>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</si>
  <si>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</si>
  <si>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</si>
  <si>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</si>
  <si>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</si>
  <si>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</si>
  <si>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</si>
  <si>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</si>
  <si>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</si>
  <si>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</si>
  <si>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</si>
  <si>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</si>
  <si>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</si>
  <si>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</si>
  <si>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</si>
  <si>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</si>
  <si>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</si>
  <si>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</si>
  <si>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</si>
  <si>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</si>
  <si>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</si>
  <si>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</si>
  <si>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</si>
  <si>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</si>
  <si>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</si>
  <si>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</si>
  <si>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</si>
  <si>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</si>
  <si>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</si>
  <si>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</si>
  <si>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</si>
  <si>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</si>
  <si>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</si>
  <si>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</si>
  <si>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</si>
  <si>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</si>
  <si>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</si>
  <si>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</si>
  <si>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</si>
  <si>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</si>
  <si>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</si>
  <si>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</si>
  <si>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</si>
  <si>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</si>
  <si>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</si>
  <si>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</si>
  <si>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</si>
  <si>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</si>
  <si>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</si>
  <si>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</si>
  <si>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</si>
  <si>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</si>
  <si>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</si>
  <si>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</si>
  <si>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</si>
  <si>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</si>
  <si>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</si>
  <si>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</si>
  <si>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</si>
  <si>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</si>
  <si>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</si>
  <si>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</si>
  <si>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</si>
  <si>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</si>
  <si>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</si>
  <si>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</si>
  <si>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</si>
  <si>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</si>
  <si>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</si>
  <si>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</si>
  <si>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</si>
  <si>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</si>
  <si>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</si>
  <si>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</si>
  <si>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</si>
  <si>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</si>
  <si>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</si>
  <si>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</si>
  <si>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</si>
  <si>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</si>
  <si>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</si>
  <si>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</si>
  <si>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</si>
  <si>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</si>
  <si>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</si>
  <si>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</si>
  <si>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</si>
  <si>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</si>
  <si>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</si>
  <si>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</si>
  <si>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</si>
  <si>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</si>
  <si>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</si>
  <si>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</si>
  <si>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</si>
  <si>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</si>
  <si>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</si>
  <si>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</si>
  <si>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</si>
  <si>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</si>
  <si>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</si>
  <si>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</si>
  <si>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</si>
  <si>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</si>
  <si>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</si>
  <si>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</si>
  <si>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</si>
  <si>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</si>
  <si>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</si>
  <si>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</si>
  <si>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</si>
  <si>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</si>
  <si>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</si>
  <si>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</si>
  <si>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</si>
  <si>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</si>
  <si>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</si>
  <si>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</si>
  <si>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</si>
  <si>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</si>
  <si>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</si>
  <si>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</si>
  <si>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</si>
  <si>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</si>
  <si>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</si>
  <si>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</si>
  <si>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</si>
  <si>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</si>
  <si>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</si>
  <si>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</si>
  <si>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</si>
  <si>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</si>
  <si>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</si>
  <si>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</si>
  <si>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</si>
  <si>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</si>
  <si>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</si>
  <si>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</si>
  <si>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</si>
  <si>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</si>
  <si>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</si>
  <si>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</si>
  <si>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</si>
  <si>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</si>
  <si>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</si>
  <si>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</si>
  <si>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</si>
  <si>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</si>
  <si>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</si>
  <si>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</si>
  <si>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</si>
  <si>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</si>
  <si>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</si>
  <si>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</si>
  <si>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</si>
  <si>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</si>
  <si>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</si>
  <si>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</si>
  <si>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</si>
  <si>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</si>
  <si>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</si>
  <si>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</si>
  <si>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</si>
  <si>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</si>
  <si>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</si>
  <si>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</si>
  <si>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</si>
  <si>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</si>
  <si>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</si>
  <si>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</si>
  <si>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</si>
  <si>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</si>
  <si>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</si>
  <si>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</si>
  <si>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</si>
  <si>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</si>
  <si>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</si>
  <si>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</si>
  <si>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</si>
  <si>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</si>
  <si>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</si>
  <si>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</si>
  <si>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</si>
  <si>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</si>
  <si>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</si>
  <si>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</si>
  <si>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</si>
  <si>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</si>
  <si>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</si>
  <si>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</si>
  <si>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</si>
  <si>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</si>
  <si>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</si>
  <si>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</si>
  <si>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</si>
  <si>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</si>
  <si>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</si>
  <si>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</si>
  <si>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</si>
  <si>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</si>
  <si>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</si>
  <si>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</si>
  <si>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</si>
  <si>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</si>
  <si>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</si>
  <si>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</si>
  <si>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</si>
  <si>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</si>
  <si>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</si>
  <si>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</si>
  <si>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</si>
  <si>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</si>
  <si>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</si>
  <si>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</si>
  <si>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</si>
  <si>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</si>
  <si>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</si>
  <si>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</si>
  <si>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</si>
  <si>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</si>
  <si>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</si>
  <si>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</si>
  <si>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</si>
  <si>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</si>
  <si>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</si>
  <si>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</si>
  <si>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</si>
  <si>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</si>
  <si>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</si>
  <si>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</si>
  <si>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</si>
  <si>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</si>
  <si>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</si>
  <si>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</si>
  <si>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</si>
  <si>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</si>
  <si>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</si>
  <si>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</si>
  <si>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</si>
  <si>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</si>
  <si>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</si>
  <si>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</si>
  <si>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</si>
  <si>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</si>
  <si>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</si>
  <si>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</si>
  <si>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</si>
  <si>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</si>
  <si>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</si>
  <si>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</si>
  <si>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</si>
  <si>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</si>
  <si>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</si>
  <si>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</si>
  <si>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</si>
  <si>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</si>
  <si>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</si>
  <si>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</si>
  <si>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</si>
  <si>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</si>
  <si>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</si>
  <si>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</si>
  <si>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</si>
  <si>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</si>
  <si>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</si>
  <si>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</si>
  <si>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</si>
  <si>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</si>
  <si>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</si>
  <si>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</si>
  <si>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</si>
  <si>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</si>
  <si>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</si>
  <si>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</si>
  <si>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</si>
  <si>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</si>
  <si>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</si>
  <si>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</si>
  <si>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</si>
  <si>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</si>
  <si>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</si>
  <si>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</si>
  <si>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</si>
  <si>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</si>
  <si>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</si>
  <si>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</si>
  <si>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</si>
  <si>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</si>
  <si>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</si>
  <si>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</si>
  <si>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</si>
  <si>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</si>
  <si>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</si>
  <si>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</si>
  <si>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</si>
  <si>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</si>
  <si>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</si>
  <si>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</si>
  <si>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</si>
  <si>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</si>
  <si>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</si>
  <si>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</si>
  <si>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</si>
  <si>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</si>
  <si>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</si>
  <si>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</si>
  <si>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</si>
  <si>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</si>
  <si>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</si>
  <si>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</si>
  <si>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</si>
  <si>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</si>
  <si>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</si>
  <si>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</si>
  <si>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</si>
  <si>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</si>
  <si>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</si>
  <si>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</si>
  <si>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</si>
  <si>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</si>
  <si>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</si>
  <si>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</si>
  <si>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</si>
  <si>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</si>
  <si>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</si>
  <si>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</si>
  <si>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</si>
  <si>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</si>
  <si>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</si>
  <si>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</si>
  <si>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</si>
  <si>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</si>
  <si>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</si>
  <si>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</si>
  <si>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</si>
  <si>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</si>
  <si>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</si>
  <si>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</si>
  <si>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</si>
  <si>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</si>
  <si>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</si>
  <si>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</si>
  <si>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</si>
  <si>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</si>
  <si>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</si>
  <si>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</si>
  <si>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</si>
  <si>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</si>
  <si>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</si>
  <si>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</si>
  <si>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</si>
  <si>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</si>
  <si>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</si>
  <si>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</si>
  <si>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</si>
  <si>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</si>
  <si>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</si>
  <si>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</si>
  <si>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</si>
  <si>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</si>
  <si>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</si>
  <si>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</si>
  <si>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</si>
  <si>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</si>
  <si>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</si>
  <si>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</si>
  <si>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</si>
  <si>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</si>
  <si>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</si>
  <si>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</si>
  <si>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</si>
  <si>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</si>
  <si>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</si>
  <si>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</si>
  <si>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</si>
  <si>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</si>
  <si>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</si>
  <si>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</si>
  <si>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</si>
  <si>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</si>
  <si>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</si>
  <si>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</si>
  <si>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</si>
  <si>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</si>
  <si>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</si>
  <si>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</si>
  <si>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</si>
  <si>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</si>
  <si>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</si>
  <si>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</si>
  <si>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</si>
  <si>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</si>
  <si>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</si>
  <si>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</si>
  <si>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</si>
  <si>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</si>
  <si>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</si>
  <si>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</si>
  <si>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</si>
  <si>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</si>
  <si>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</si>
  <si>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</si>
  <si>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</si>
  <si>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</si>
  <si>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</si>
  <si>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</si>
  <si>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</si>
  <si>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</si>
  <si>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</si>
  <si>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</si>
  <si>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</si>
  <si>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</si>
  <si>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</si>
  <si>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</si>
  <si>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</si>
  <si>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</si>
  <si>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</si>
  <si>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</si>
  <si>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</si>
  <si>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</si>
  <si>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</si>
  <si>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</si>
  <si>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</si>
  <si>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</si>
  <si>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</si>
  <si>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</si>
  <si>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</si>
  <si>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</si>
  <si>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</si>
  <si>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</si>
  <si>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</si>
  <si>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</si>
  <si>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</si>
  <si>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</si>
  <si>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</si>
  <si>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</si>
  <si>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</si>
  <si>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</si>
  <si>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</si>
  <si>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</si>
  <si>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</si>
  <si>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</si>
  <si>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</si>
  <si>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</si>
  <si>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</si>
  <si>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</si>
  <si>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</si>
  <si>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</si>
  <si>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</si>
  <si>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</si>
  <si>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</si>
  <si>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</si>
  <si>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</si>
  <si>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</si>
  <si>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</si>
  <si>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</si>
  <si>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</si>
  <si>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</si>
  <si>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</si>
  <si>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</si>
  <si>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</si>
  <si>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</si>
  <si>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</si>
  <si>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</si>
  <si>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</si>
  <si>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</si>
  <si>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</si>
  <si>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</si>
  <si>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</si>
  <si>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</si>
  <si>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</si>
  <si>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</si>
  <si>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</si>
  <si>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</si>
  <si>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</si>
  <si>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</si>
  <si>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</si>
  <si>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</si>
  <si>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</si>
  <si>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</si>
  <si>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</si>
  <si>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</si>
  <si>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</si>
  <si>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</si>
  <si>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</si>
  <si>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</si>
  <si>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</si>
  <si>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</si>
  <si>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</si>
  <si>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</si>
  <si>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</si>
  <si>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</si>
  <si>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</si>
  <si>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</si>
  <si>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</si>
  <si>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</si>
  <si>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</si>
  <si>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</si>
  <si>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</si>
  <si>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</si>
  <si>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</si>
  <si>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</si>
  <si>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</si>
  <si>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</si>
  <si>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</si>
  <si>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</si>
  <si>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</si>
  <si>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</si>
  <si>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</si>
  <si>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</si>
  <si>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</si>
  <si>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</si>
  <si>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</si>
  <si>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</si>
  <si>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</si>
  <si>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</si>
  <si>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</si>
  <si>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</si>
  <si>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</si>
  <si>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</si>
  <si>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</si>
  <si>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</si>
  <si>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</si>
  <si>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</si>
  <si>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</si>
  <si>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</si>
  <si>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</si>
  <si>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</si>
  <si>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</si>
  <si>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</si>
  <si>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</si>
  <si>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</si>
  <si>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</si>
  <si>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</si>
  <si>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</si>
  <si>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</si>
  <si>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</si>
  <si>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</si>
  <si>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</si>
  <si>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</si>
  <si>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</si>
  <si>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</si>
  <si>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</si>
  <si>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</si>
  <si>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</si>
  <si>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</si>
  <si>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</si>
  <si>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</si>
  <si>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</si>
  <si>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</si>
  <si>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</si>
  <si>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</si>
  <si>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</si>
  <si>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</si>
  <si>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</si>
  <si>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</si>
  <si>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</si>
  <si>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</si>
  <si>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</si>
  <si>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</si>
  <si>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</si>
  <si>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</si>
  <si>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</si>
  <si>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</si>
  <si>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</si>
  <si>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</si>
  <si>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</si>
  <si>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</si>
  <si>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</si>
  <si>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</si>
  <si>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</si>
  <si>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</si>
  <si>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</si>
  <si>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</si>
  <si>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</si>
  <si>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</si>
  <si>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</si>
  <si>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</si>
  <si>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</si>
  <si>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</si>
  <si>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</si>
  <si>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</si>
  <si>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</si>
  <si>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</si>
  <si>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</si>
  <si>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</si>
  <si>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</si>
  <si>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</si>
  <si>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</si>
  <si>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</si>
  <si>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</si>
  <si>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</si>
  <si>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</si>
  <si>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</si>
  <si>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</si>
  <si>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</si>
  <si>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</si>
  <si>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</si>
  <si>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</si>
  <si>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</si>
  <si>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</si>
  <si>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</si>
  <si>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</si>
  <si>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</si>
  <si>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</si>
  <si>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</si>
  <si>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</si>
  <si>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</si>
  <si>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</si>
  <si>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</si>
  <si>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</si>
  <si>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</si>
  <si>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</si>
  <si>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</si>
  <si>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</si>
  <si>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</si>
  <si>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</si>
  <si>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</si>
  <si>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</si>
  <si>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</si>
  <si>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</si>
  <si>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</si>
  <si>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</si>
  <si>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</si>
  <si>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</si>
  <si>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</si>
  <si>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</si>
  <si>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</si>
  <si>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</si>
  <si>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</si>
  <si>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</si>
  <si>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</si>
  <si>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</si>
  <si>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</si>
  <si>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</si>
  <si>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</si>
  <si>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</si>
  <si>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</si>
  <si>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</si>
  <si>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</si>
  <si>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</si>
  <si>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</si>
  <si>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</si>
  <si>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</si>
  <si>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</si>
  <si>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</si>
  <si>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</si>
  <si>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</si>
  <si>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</si>
  <si>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</si>
  <si>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</si>
  <si>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</si>
  <si>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</si>
  <si>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</si>
  <si>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</si>
  <si>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</si>
  <si>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</si>
  <si>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</si>
  <si>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</si>
  <si>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</si>
  <si>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</si>
  <si>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</si>
  <si>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</si>
  <si>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</si>
  <si>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</si>
  <si>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</si>
  <si>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</si>
  <si>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</si>
  <si>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</si>
  <si>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</si>
  <si>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</si>
  <si>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</si>
  <si>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</si>
  <si>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</si>
  <si>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</si>
  <si>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</si>
  <si>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</si>
  <si>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</si>
  <si>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</si>
  <si>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</si>
  <si>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</si>
  <si>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</si>
  <si>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</si>
  <si>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</si>
  <si>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</si>
  <si>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</si>
  <si>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</si>
  <si>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</si>
  <si>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</si>
  <si>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</si>
  <si>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</si>
  <si>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</si>
  <si>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</si>
  <si>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</si>
  <si>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</si>
  <si>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</si>
  <si>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</si>
  <si>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</si>
  <si>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</si>
  <si>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</si>
  <si>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</si>
  <si>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</si>
  <si>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</si>
  <si>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</si>
  <si>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</si>
  <si>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</si>
  <si>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</si>
  <si>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</si>
  <si>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</si>
  <si>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</si>
  <si>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</si>
  <si>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</si>
  <si>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</si>
  <si>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</si>
  <si>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</si>
  <si>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</si>
  <si>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</si>
  <si>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</si>
  <si>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</si>
  <si>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</si>
  <si>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</si>
  <si>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</si>
  <si>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</si>
  <si>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</si>
  <si>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</si>
  <si>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</si>
  <si>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</si>
  <si>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</si>
  <si>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</si>
  <si>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</si>
  <si>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</si>
  <si>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</si>
  <si>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</si>
  <si>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</si>
  <si>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</si>
  <si>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</si>
  <si>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</si>
  <si>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</si>
  <si>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</si>
  <si>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</si>
  <si>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</si>
  <si>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</si>
  <si>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</si>
  <si>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</si>
  <si>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</si>
  <si>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</si>
  <si>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</si>
  <si>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</si>
  <si>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</si>
  <si>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</si>
  <si>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</si>
  <si>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</si>
  <si>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</si>
  <si>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</si>
  <si>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</si>
  <si>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</si>
  <si>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</si>
  <si>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</si>
  <si>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</si>
  <si>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</si>
  <si>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</si>
  <si>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</si>
  <si>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</si>
  <si>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</si>
  <si>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</si>
  <si>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</si>
  <si>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</si>
  <si>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</si>
  <si>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</si>
  <si>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</si>
  <si>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</si>
  <si>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</si>
  <si>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</si>
  <si>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</si>
  <si>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</si>
  <si>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</si>
  <si>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</si>
  <si>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</si>
  <si>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</si>
  <si>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</si>
  <si>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</si>
  <si>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</si>
  <si>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</si>
  <si>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</si>
  <si>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</si>
  <si>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</si>
  <si>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</si>
  <si>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</si>
  <si>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</si>
  <si>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</si>
  <si>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</si>
  <si>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</si>
  <si>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</si>
  <si>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</si>
  <si>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</si>
  <si>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</si>
  <si>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</si>
  <si>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</si>
  <si>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</si>
  <si>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</si>
  <si>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</si>
  <si>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</si>
  <si>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</si>
  <si>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</si>
  <si>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</si>
  <si>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</si>
  <si>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</si>
  <si>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</si>
  <si>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</si>
  <si>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</si>
  <si>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</si>
  <si>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</si>
  <si>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</si>
  <si>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</si>
  <si>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</si>
  <si>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</si>
  <si>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</si>
  <si>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</si>
  <si>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</si>
  <si>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</si>
  <si>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</si>
  <si>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</si>
  <si>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</si>
  <si>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</si>
  <si>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</si>
  <si>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</si>
  <si>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</si>
  <si>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</si>
  <si>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</si>
  <si>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</si>
  <si>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</si>
  <si>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</si>
  <si>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</si>
  <si>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</si>
  <si>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</si>
  <si>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</si>
  <si>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</si>
  <si>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</si>
  <si>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</si>
  <si>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</si>
  <si>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</si>
  <si>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</si>
  <si>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</si>
  <si>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</si>
  <si>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</si>
  <si>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</si>
  <si>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</si>
  <si>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</si>
  <si>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</si>
  <si>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</si>
  <si>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</si>
  <si>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</si>
  <si>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</si>
  <si>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</si>
  <si>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</si>
  <si>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</si>
  <si>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</si>
  <si>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</si>
  <si>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</si>
  <si>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</si>
  <si>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</si>
  <si>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</si>
  <si>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</si>
  <si>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</si>
  <si>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</si>
  <si>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</si>
  <si>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</si>
  <si>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</si>
  <si>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</si>
  <si>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</si>
  <si>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</si>
  <si>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</si>
  <si>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</si>
  <si>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</si>
  <si>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</si>
  <si>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</si>
  <si>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</si>
  <si>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</si>
  <si>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</si>
  <si>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</si>
  <si>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</si>
  <si>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</si>
  <si>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</si>
  <si>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</si>
  <si>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</si>
  <si>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</si>
  <si>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</si>
  <si>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</si>
  <si>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</si>
  <si>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</si>
  <si>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</si>
  <si>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</si>
  <si>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</si>
  <si>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</si>
  <si>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</si>
  <si>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</si>
  <si>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</si>
  <si>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</si>
  <si>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</si>
  <si>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</si>
  <si>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</si>
  <si>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</si>
  <si>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</si>
  <si>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</si>
  <si>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</si>
  <si>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</si>
  <si>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</si>
  <si>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</si>
  <si>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</si>
  <si>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</si>
  <si>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</si>
  <si>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</si>
  <si>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</si>
  <si>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</si>
  <si>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</si>
  <si>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</si>
  <si>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</si>
  <si>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</si>
  <si>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</si>
  <si>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</si>
  <si>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</si>
  <si>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</si>
  <si>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</si>
  <si>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</si>
  <si>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</si>
  <si>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</si>
  <si>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</si>
  <si>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</si>
  <si>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</si>
  <si>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</si>
  <si>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</si>
  <si>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</si>
  <si>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</si>
  <si>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</si>
  <si>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</si>
  <si>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</si>
  <si>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</si>
  <si>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</si>
  <si>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</si>
  <si>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</si>
  <si>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</si>
  <si>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</si>
  <si>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</si>
  <si>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</si>
  <si>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</si>
  <si>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</si>
  <si>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</si>
  <si>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</si>
  <si>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</si>
  <si>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</si>
  <si>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</si>
  <si>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</si>
  <si>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</si>
  <si>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</si>
  <si>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</si>
  <si>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</si>
  <si>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</si>
  <si>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</si>
  <si>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</si>
  <si>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</si>
  <si>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</si>
  <si>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</si>
  <si>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</si>
  <si>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</si>
  <si>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</si>
  <si>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</si>
  <si>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</si>
  <si>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</si>
  <si>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</si>
  <si>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</si>
  <si>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</si>
  <si>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</si>
  <si>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</si>
  <si>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</si>
  <si>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</si>
  <si>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</si>
  <si>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</si>
  <si>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</si>
  <si>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</si>
  <si>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</si>
  <si>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</si>
  <si>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</si>
  <si>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</si>
  <si>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</si>
  <si>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</si>
  <si>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</si>
  <si>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</si>
  <si>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</si>
  <si>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</si>
  <si>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</si>
  <si>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</si>
  <si>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</si>
  <si>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</si>
  <si>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</si>
  <si>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</si>
  <si>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</si>
  <si>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</si>
  <si>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</si>
  <si>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</si>
  <si>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</si>
  <si>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</si>
  <si>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</si>
  <si>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</si>
  <si>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</si>
  <si>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</si>
  <si>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</si>
  <si>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</si>
  <si>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</si>
  <si>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</si>
  <si>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</si>
  <si>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</si>
  <si>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</si>
  <si>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</si>
  <si>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</si>
  <si>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</si>
  <si>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</si>
  <si>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</si>
  <si>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</si>
  <si>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</si>
  <si>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</si>
  <si>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</si>
  <si>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</si>
  <si>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</si>
  <si>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</si>
  <si>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</si>
  <si>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</si>
  <si>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</si>
  <si>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</si>
  <si>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</si>
  <si>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</si>
  <si>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</si>
  <si>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</si>
  <si>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</si>
  <si>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</si>
  <si>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</si>
  <si>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</si>
  <si>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</si>
  <si>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</si>
  <si>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</si>
  <si>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</si>
  <si>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</si>
  <si>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</si>
  <si>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</si>
  <si>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</si>
  <si>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</si>
  <si>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</si>
  <si>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</si>
  <si>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</si>
  <si>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</si>
  <si>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</si>
  <si>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</si>
  <si>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</si>
  <si>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</si>
  <si>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</si>
  <si>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</si>
  <si>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</si>
  <si>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</si>
  <si>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</si>
  <si>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</si>
  <si>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</si>
  <si>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</si>
  <si>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</si>
  <si>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</si>
  <si>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</si>
  <si>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</si>
  <si>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</si>
  <si>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</si>
  <si>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</si>
  <si>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</si>
  <si>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</si>
  <si>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</si>
  <si>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</si>
  <si>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</si>
  <si>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</si>
  <si>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</si>
  <si>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</si>
  <si>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</si>
  <si>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</si>
  <si>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</si>
  <si>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</si>
  <si>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</si>
  <si>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</si>
  <si>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</si>
  <si>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</si>
  <si>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</si>
  <si>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</si>
  <si>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</si>
  <si>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</si>
  <si>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</si>
  <si>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</si>
  <si>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</si>
  <si>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</si>
  <si>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</si>
  <si>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</si>
  <si>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</si>
  <si>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</si>
  <si>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</si>
  <si>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</si>
  <si>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</si>
  <si>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</si>
  <si>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</si>
  <si>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</si>
  <si>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</si>
  <si>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</si>
  <si>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</si>
  <si>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</si>
  <si>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</si>
  <si>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</si>
  <si>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</si>
  <si>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</si>
  <si>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</si>
  <si>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</si>
  <si>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</si>
  <si>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</si>
  <si>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</si>
  <si>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</si>
  <si>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</si>
  <si>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</si>
  <si>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</si>
  <si>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</si>
  <si>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</si>
  <si>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</si>
  <si>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</si>
  <si>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</si>
  <si>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</si>
  <si>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</si>
  <si>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</si>
  <si>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</si>
  <si>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</si>
  <si>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</si>
  <si>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</si>
  <si>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</si>
  <si>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</si>
  <si>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</si>
  <si>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</si>
  <si>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</si>
  <si>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</si>
  <si>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</si>
  <si>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</si>
  <si>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</si>
  <si>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</si>
  <si>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</si>
  <si>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</si>
  <si>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</si>
  <si>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</si>
  <si>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</si>
  <si>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</si>
  <si>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</si>
  <si>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</si>
  <si>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</si>
  <si>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</si>
  <si>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</si>
  <si>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</si>
  <si>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</si>
  <si>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</si>
  <si>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</si>
  <si>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</si>
  <si>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</si>
  <si>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</si>
  <si>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</si>
  <si>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</si>
  <si>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</si>
  <si>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</si>
  <si>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</si>
  <si>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</si>
  <si>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</si>
  <si>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</si>
  <si>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</si>
  <si>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</si>
  <si>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</si>
  <si>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</si>
  <si>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</si>
  <si>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</si>
  <si>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</si>
  <si>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</si>
  <si>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</si>
  <si>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</si>
  <si>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</si>
  <si>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</si>
  <si>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</si>
  <si>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</si>
  <si>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</si>
  <si>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</si>
  <si>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</si>
  <si>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</si>
  <si>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</si>
  <si>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</si>
  <si>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</si>
  <si>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</si>
  <si>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</si>
  <si>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</si>
  <si>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</si>
  <si>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</si>
  <si>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</si>
  <si>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</si>
  <si>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</si>
  <si>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</si>
  <si>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</si>
  <si>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</si>
  <si>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</si>
  <si>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</si>
  <si>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</si>
  <si>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</si>
  <si>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</si>
  <si>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</si>
  <si>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</si>
  <si>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</si>
  <si>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</si>
  <si>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</si>
  <si>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</si>
  <si>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</si>
  <si>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</si>
  <si>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</si>
  <si>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</si>
  <si>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</si>
  <si>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</si>
  <si>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</si>
  <si>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</si>
  <si>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</si>
  <si>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</si>
  <si>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</si>
  <si>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</si>
  <si>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</si>
  <si>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</si>
  <si>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</si>
  <si>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</si>
  <si>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</si>
  <si>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</si>
  <si>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</si>
  <si>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</si>
  <si>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</si>
  <si>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</si>
  <si>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</si>
  <si>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</si>
  <si>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</si>
  <si>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</si>
  <si>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</si>
  <si>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</si>
  <si>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</si>
  <si>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</si>
  <si>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</si>
  <si>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</si>
  <si>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</si>
  <si>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</si>
  <si>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</si>
  <si>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</si>
  <si>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</si>
  <si>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</si>
  <si>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</si>
  <si>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</si>
  <si>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</si>
  <si>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</si>
  <si>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</si>
  <si>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</si>
  <si>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</si>
  <si>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</si>
  <si>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</si>
  <si>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</si>
  <si>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</si>
  <si>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</si>
  <si>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</si>
  <si>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</si>
  <si>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</si>
  <si>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</si>
  <si>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</si>
  <si>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</si>
  <si>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</si>
  <si>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</si>
  <si>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</si>
  <si>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</si>
  <si>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</si>
  <si>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</si>
  <si>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</si>
  <si>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</si>
  <si>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</si>
  <si>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</si>
  <si>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</si>
  <si>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</si>
  <si>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</si>
  <si>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</si>
  <si>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</si>
  <si>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</si>
  <si>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</si>
  <si>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</si>
  <si>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</si>
  <si>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</si>
  <si>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</si>
  <si>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</si>
  <si>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</si>
  <si>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</si>
  <si>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</si>
  <si>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</si>
  <si>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</si>
  <si>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</si>
  <si>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</si>
  <si>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</si>
  <si>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</si>
  <si>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</si>
  <si>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</si>
  <si>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</si>
  <si>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</si>
  <si>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</si>
  <si>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</si>
  <si>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</si>
  <si>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</si>
  <si>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</si>
  <si>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</si>
  <si>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</si>
  <si>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</si>
  <si>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</si>
  <si>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</si>
  <si>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</si>
  <si>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</si>
  <si>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</si>
  <si>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</si>
  <si>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</si>
  <si>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</si>
  <si>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</si>
  <si>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</si>
  <si>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</si>
  <si>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</si>
  <si>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</si>
  <si>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</si>
  <si>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</si>
  <si>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</si>
  <si>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</si>
  <si>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</si>
  <si>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</si>
  <si>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</si>
  <si>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</si>
  <si>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</si>
  <si>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</si>
  <si>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</si>
  <si>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</si>
  <si>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</si>
  <si>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</si>
  <si>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</si>
  <si>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</si>
  <si>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</si>
  <si>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</si>
  <si>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</si>
  <si>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</si>
  <si>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</si>
  <si>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</si>
  <si>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</si>
  <si>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</si>
  <si>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</si>
  <si>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</si>
  <si>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</si>
  <si>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</si>
  <si>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</si>
  <si>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</si>
  <si>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</si>
  <si>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</si>
  <si>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</si>
  <si>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</si>
  <si>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</si>
  <si>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</si>
  <si>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</si>
  <si>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</si>
  <si>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</si>
  <si>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</si>
  <si>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</si>
  <si>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</si>
  <si>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</si>
  <si>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</si>
  <si>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</si>
  <si>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</si>
  <si>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</si>
  <si>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</si>
  <si>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</si>
  <si>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</si>
  <si>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</si>
  <si>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</si>
  <si>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</si>
  <si>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</si>
  <si>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</si>
  <si>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</si>
  <si>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</si>
  <si>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</si>
  <si>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</si>
  <si>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</si>
  <si>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</si>
  <si>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</si>
  <si>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</si>
  <si>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</si>
  <si>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</si>
  <si>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</si>
  <si>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</si>
  <si>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</si>
  <si>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</si>
  <si>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</si>
  <si>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</si>
  <si>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</si>
  <si>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</si>
  <si>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</si>
  <si>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</si>
  <si>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</si>
  <si>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</si>
  <si>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</si>
  <si>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</si>
  <si>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</si>
  <si>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</si>
  <si>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</si>
  <si>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</si>
  <si>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</si>
  <si>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</si>
  <si>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</si>
  <si>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</si>
  <si>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</si>
  <si>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</si>
  <si>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</si>
  <si>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</si>
  <si>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</si>
  <si>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</si>
  <si>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</si>
  <si>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</si>
  <si>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</si>
  <si>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</si>
  <si>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</si>
  <si>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</si>
  <si>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</si>
  <si>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</si>
  <si>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</si>
  <si>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</si>
  <si>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</si>
  <si>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</si>
  <si>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</si>
  <si>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</si>
  <si>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</si>
  <si>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</si>
  <si>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</si>
  <si>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</si>
  <si>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</si>
  <si>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</si>
  <si>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</si>
  <si>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</si>
  <si>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</si>
  <si>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</si>
  <si>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</si>
  <si>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</si>
  <si>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</si>
  <si>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</si>
  <si>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</si>
  <si>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</si>
  <si>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</si>
  <si>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</si>
  <si>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</si>
  <si>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</si>
  <si>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</si>
  <si>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</si>
  <si>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</si>
  <si>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</si>
  <si>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</si>
  <si>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</si>
  <si>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</si>
  <si>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</si>
  <si>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</si>
  <si>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</si>
  <si>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</si>
  <si>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</si>
  <si>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</si>
  <si>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</si>
  <si>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</si>
  <si>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</si>
  <si>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</si>
  <si>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</si>
  <si>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</si>
  <si>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</si>
  <si>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</si>
  <si>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</si>
  <si>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</si>
  <si>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</si>
  <si>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</si>
  <si>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</si>
  <si>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</si>
  <si>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</si>
  <si>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</si>
  <si>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</si>
  <si>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</si>
  <si>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</si>
  <si>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</si>
  <si>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</si>
  <si>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</si>
  <si>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</si>
  <si>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</si>
  <si>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</si>
  <si>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</si>
  <si>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</si>
  <si>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</si>
  <si>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</si>
  <si>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</si>
  <si>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</si>
  <si>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</si>
  <si>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</si>
  <si>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</si>
  <si>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</si>
  <si>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</si>
  <si>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</si>
  <si>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</si>
  <si>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</si>
  <si>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</si>
  <si>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</si>
  <si>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</si>
  <si>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</si>
  <si>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</si>
  <si>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</si>
  <si>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</si>
  <si>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</si>
  <si>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</si>
  <si>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</si>
  <si>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</si>
  <si>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</si>
  <si>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</si>
  <si>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</si>
  <si>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</si>
  <si>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</si>
  <si>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</si>
  <si>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</si>
  <si>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</si>
  <si>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</si>
  <si>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</si>
  <si>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</si>
  <si>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</si>
  <si>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</si>
  <si>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</si>
  <si>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</si>
  <si>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</si>
  <si>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</si>
  <si>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</si>
  <si>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</si>
  <si>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</si>
  <si>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</si>
  <si>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</si>
  <si>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</si>
  <si>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</si>
  <si>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</si>
  <si>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</si>
  <si>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</si>
  <si>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</si>
  <si>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</si>
  <si>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</si>
  <si>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</si>
  <si>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</si>
  <si>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</si>
  <si>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</si>
  <si>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</si>
  <si>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</si>
  <si>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</si>
  <si>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</si>
  <si>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</si>
  <si>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</si>
  <si>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</si>
  <si>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</si>
  <si>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</si>
  <si>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</si>
  <si>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</si>
  <si>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</si>
  <si>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</si>
  <si>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</si>
  <si>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</si>
  <si>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</si>
  <si>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</si>
  <si>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</si>
  <si>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</si>
  <si>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</si>
  <si>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</si>
  <si>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</si>
  <si>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</si>
  <si>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</si>
  <si>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</si>
  <si>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</si>
  <si>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</si>
  <si>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</si>
  <si>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</si>
  <si>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</si>
  <si>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</si>
  <si>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</si>
  <si>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</si>
  <si>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</si>
  <si>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</si>
  <si>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</si>
  <si>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</si>
  <si>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</si>
  <si>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</si>
  <si>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</si>
  <si>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</si>
  <si>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</si>
  <si>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</si>
  <si>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</si>
  <si>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</si>
  <si>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</si>
  <si>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</si>
  <si>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</si>
  <si>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</si>
  <si>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</si>
  <si>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</si>
  <si>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</si>
  <si>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</si>
  <si>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</si>
  <si>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</si>
  <si>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</si>
  <si>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</si>
  <si>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</si>
  <si>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</si>
  <si>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</si>
  <si>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</si>
  <si>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</si>
  <si>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</si>
  <si>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</si>
  <si>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</si>
  <si>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</si>
  <si>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</si>
  <si>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</si>
  <si>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</si>
  <si>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</si>
  <si>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</si>
  <si>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</si>
  <si>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</si>
  <si>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</si>
  <si>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</si>
  <si>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</si>
  <si>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</si>
  <si>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</si>
  <si>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</si>
  <si>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</si>
  <si>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</si>
  <si>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</si>
  <si>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</si>
  <si>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</si>
  <si>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</si>
  <si>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</si>
  <si>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</si>
  <si>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</si>
  <si>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</si>
  <si>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</si>
  <si>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</si>
  <si>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</si>
  <si>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</si>
  <si>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</si>
  <si>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</si>
  <si>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</si>
  <si>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</si>
  <si>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</si>
  <si>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</si>
  <si>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</si>
  <si>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</si>
  <si>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</si>
  <si>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</si>
  <si>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</si>
  <si>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</si>
  <si>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</si>
  <si>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</si>
  <si>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</si>
  <si>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</si>
  <si>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</si>
  <si>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</si>
  <si>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</si>
  <si>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</si>
  <si>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</si>
  <si>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</si>
  <si>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</si>
  <si>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</si>
  <si>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</si>
  <si>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</si>
  <si>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</si>
  <si>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</si>
  <si>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</si>
  <si>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</si>
  <si>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</si>
  <si>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</si>
  <si>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</si>
  <si>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</si>
  <si>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</si>
  <si>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</si>
  <si>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</si>
  <si>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</si>
  <si>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</si>
  <si>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</si>
  <si>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</si>
  <si>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</si>
  <si>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</si>
  <si>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</si>
  <si>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</si>
  <si>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</si>
  <si>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</si>
  <si>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</si>
  <si>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</si>
  <si>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</si>
  <si>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</si>
  <si>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</si>
  <si>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</si>
  <si>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</si>
  <si>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</si>
  <si>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</si>
  <si>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</si>
  <si>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</si>
  <si>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</si>
  <si>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</si>
  <si>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</si>
  <si>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</si>
  <si>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</si>
  <si>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</si>
  <si>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</si>
  <si>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</si>
  <si>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</si>
  <si>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</si>
  <si>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</si>
  <si>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</si>
  <si>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</si>
  <si>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</si>
  <si>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</si>
  <si>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</si>
  <si>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</si>
  <si>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</si>
  <si>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</si>
  <si>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</si>
  <si>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</si>
  <si>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</si>
  <si>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</si>
  <si>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</si>
  <si>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</si>
  <si>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</si>
  <si>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</si>
  <si>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</si>
  <si>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</si>
  <si>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</si>
  <si>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</si>
  <si>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</si>
  <si>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</si>
  <si>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</si>
  <si>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</si>
  <si>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</si>
  <si>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</si>
  <si>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</si>
  <si>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</si>
  <si>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</si>
  <si>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</si>
  <si>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</si>
  <si>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</si>
  <si>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</si>
  <si>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</si>
  <si>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</si>
  <si>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</si>
  <si>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</si>
  <si>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</si>
  <si>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</si>
  <si>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</si>
  <si>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</si>
  <si>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</si>
  <si>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</si>
  <si>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</si>
  <si>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</si>
  <si>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</si>
  <si>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</si>
  <si>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</si>
  <si>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</si>
  <si>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</si>
  <si>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</si>
  <si>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</si>
  <si>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</si>
  <si>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</si>
  <si>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</si>
  <si>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</si>
  <si>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</si>
  <si>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</si>
  <si>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</si>
  <si>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</si>
  <si>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</si>
  <si>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</si>
  <si>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</si>
  <si>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</si>
  <si>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</si>
  <si>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</si>
  <si>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</si>
  <si>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</si>
  <si>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</si>
  <si>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</si>
  <si>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</si>
  <si>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</si>
  <si>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</si>
  <si>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</si>
  <si>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</si>
  <si>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</si>
  <si>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</si>
  <si>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</si>
  <si>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</si>
  <si>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</si>
  <si>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</si>
  <si>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</si>
  <si>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</si>
  <si>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</si>
  <si>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</si>
  <si>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</si>
  <si>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</si>
  <si>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</si>
  <si>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</si>
  <si>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</si>
  <si>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</si>
  <si>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</si>
  <si>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</si>
  <si>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</si>
  <si>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</si>
  <si>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</si>
  <si>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</si>
  <si>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</si>
  <si>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</si>
  <si>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</si>
  <si>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</si>
  <si>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</si>
  <si>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</si>
  <si>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</si>
  <si>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</si>
  <si>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</si>
  <si>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</si>
  <si>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</si>
  <si>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</si>
  <si>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</si>
  <si>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</si>
  <si>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</si>
  <si>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</si>
  <si>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</si>
  <si>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</si>
  <si>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</si>
  <si>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</si>
  <si>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</si>
  <si>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</si>
  <si>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</si>
  <si>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</si>
  <si>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</si>
  <si>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</si>
  <si>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</si>
  <si>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</si>
  <si>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</si>
  <si>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</si>
  <si>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</si>
  <si>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</si>
  <si>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</si>
  <si>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</si>
  <si>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</si>
  <si>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</si>
  <si>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</si>
  <si>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</si>
  <si>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</si>
  <si>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</si>
  <si>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</si>
  <si>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</si>
  <si>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</si>
  <si>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</si>
  <si>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</si>
  <si>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</si>
  <si>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</si>
  <si>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</si>
  <si>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</si>
  <si>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</si>
  <si>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</si>
  <si>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</si>
  <si>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</si>
  <si>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</si>
  <si>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</si>
  <si>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</si>
  <si>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</si>
  <si>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</si>
  <si>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</si>
  <si>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</si>
  <si>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</si>
  <si>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</si>
  <si>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</si>
  <si>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</si>
  <si>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</si>
  <si>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</si>
  <si>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</si>
  <si>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</si>
  <si>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</si>
  <si>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</si>
  <si>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</si>
  <si>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</si>
  <si>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</si>
  <si>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</si>
  <si>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</si>
  <si>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</si>
  <si>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</si>
  <si>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</si>
  <si>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</si>
  <si>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</si>
  <si>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</si>
  <si>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</si>
  <si>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</si>
  <si>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</si>
  <si>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</si>
  <si>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</si>
  <si>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</si>
  <si>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</si>
  <si>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</si>
  <si>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</si>
  <si>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</si>
  <si>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</si>
  <si>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</si>
  <si>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</si>
  <si>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</si>
  <si>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</si>
  <si>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</si>
  <si>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</si>
  <si>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</si>
  <si>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</si>
  <si>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</si>
  <si>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</si>
  <si>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</si>
  <si>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</si>
  <si>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</si>
  <si>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</si>
  <si>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</si>
  <si>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</si>
  <si>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</si>
  <si>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</si>
  <si>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</si>
  <si>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</si>
  <si>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</si>
  <si>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</si>
  <si>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</si>
  <si>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</si>
  <si>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</si>
  <si>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</si>
  <si>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</si>
  <si>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</si>
  <si>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</si>
  <si>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</si>
  <si>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</si>
  <si>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</si>
  <si>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</si>
  <si>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</si>
  <si>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</si>
  <si>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</si>
  <si>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</si>
  <si>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</si>
  <si>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</si>
  <si>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</si>
  <si>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</si>
  <si>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</si>
  <si>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</si>
  <si>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</si>
  <si>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</si>
  <si>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</si>
  <si>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</si>
  <si>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</si>
  <si>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</si>
  <si>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</si>
  <si>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</si>
  <si>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</si>
  <si>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</si>
  <si>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</si>
  <si>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</si>
  <si>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</si>
  <si>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</si>
  <si>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</si>
  <si>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</si>
  <si>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</si>
  <si>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</si>
  <si>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</si>
  <si>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</si>
  <si>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</si>
  <si>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</si>
  <si>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</si>
  <si>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</si>
  <si>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</si>
  <si>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</si>
  <si>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</si>
  <si>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</si>
  <si>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</si>
  <si>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</si>
  <si>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</si>
  <si>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</si>
  <si>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</si>
  <si>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</si>
  <si>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</si>
  <si>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</si>
  <si>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</si>
  <si>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</si>
  <si>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</si>
  <si>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</si>
  <si>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</si>
  <si>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</si>
  <si>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</si>
  <si>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</si>
  <si>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</si>
  <si>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</si>
  <si>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</si>
  <si>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</si>
  <si>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</si>
  <si>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</si>
  <si>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</si>
  <si>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</si>
  <si>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</si>
  <si>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</si>
  <si>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</si>
  <si>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</si>
  <si>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</si>
  <si>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</si>
  <si>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</si>
  <si>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</si>
  <si>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</si>
  <si>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</si>
  <si>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</si>
  <si>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</si>
  <si>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</si>
  <si>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</si>
  <si>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</si>
  <si>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</si>
  <si>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</si>
  <si>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</si>
  <si>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</si>
  <si>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</si>
  <si>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</si>
  <si>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</si>
  <si>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</si>
  <si>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</si>
  <si>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</si>
  <si>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</si>
  <si>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</si>
  <si>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</si>
  <si>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</si>
  <si>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</si>
  <si>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</si>
  <si>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</si>
  <si>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</si>
  <si>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</si>
  <si>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</si>
  <si>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</si>
  <si>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</si>
  <si>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</si>
  <si>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</si>
  <si>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</si>
  <si>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</si>
  <si>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</si>
  <si>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</si>
  <si>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</si>
  <si>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</si>
  <si>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</si>
  <si>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</si>
  <si>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</si>
  <si>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</si>
  <si>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</si>
  <si>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</si>
  <si>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</si>
  <si>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</si>
  <si>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</si>
  <si>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</si>
  <si>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</si>
  <si>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</si>
  <si>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</si>
  <si>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</si>
  <si>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</si>
  <si>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</si>
  <si>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</si>
  <si>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</si>
  <si>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</si>
  <si>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</si>
  <si>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</si>
  <si>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</si>
  <si>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</si>
  <si>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</si>
  <si>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</si>
  <si>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</si>
  <si>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</si>
  <si>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</si>
  <si>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</si>
  <si>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</si>
  <si>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</si>
  <si>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</si>
  <si>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</si>
  <si>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</si>
  <si>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</si>
  <si>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</si>
  <si>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</si>
  <si>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</si>
  <si>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</si>
  <si>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</si>
  <si>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</si>
  <si>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</si>
  <si>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</si>
  <si>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</si>
  <si>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</si>
  <si>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</si>
  <si>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</si>
  <si>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</si>
  <si>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</si>
  <si>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</si>
  <si>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</si>
  <si>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</si>
  <si>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</si>
  <si>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</si>
  <si>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</si>
  <si>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</si>
  <si>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</si>
  <si>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</si>
  <si>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</si>
  <si>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</si>
  <si>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</si>
  <si>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</si>
  <si>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</si>
  <si>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</si>
  <si>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</si>
  <si>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</si>
  <si>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</si>
  <si>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</si>
  <si>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</si>
  <si>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</si>
  <si>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</si>
  <si>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</si>
  <si>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</si>
  <si>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</si>
  <si>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</si>
  <si>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</si>
  <si>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</si>
  <si>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</si>
  <si>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</si>
  <si>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</si>
  <si>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</si>
  <si>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</si>
  <si>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</si>
  <si>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</si>
  <si>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</si>
  <si>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</si>
  <si>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</si>
  <si>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</si>
  <si>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</si>
  <si>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</si>
  <si>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</si>
  <si>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</si>
  <si>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</si>
  <si>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</si>
  <si>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</si>
  <si>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</si>
  <si>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</si>
  <si>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</si>
  <si>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</si>
  <si>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</si>
  <si>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</si>
  <si>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</si>
  <si>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</si>
  <si>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</si>
  <si>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</si>
  <si>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</si>
  <si>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</si>
  <si>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</si>
  <si>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</si>
  <si>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</si>
  <si>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</si>
  <si>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</si>
  <si>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</si>
  <si>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</si>
  <si>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</si>
  <si>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</si>
  <si>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</si>
  <si>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</si>
  <si>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</si>
  <si>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</si>
  <si>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</si>
  <si>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</si>
  <si>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</si>
  <si>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</si>
  <si>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</si>
  <si>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</si>
  <si>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</si>
  <si>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</si>
  <si>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</si>
  <si>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</si>
  <si>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</si>
  <si>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</si>
  <si>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</si>
  <si>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</si>
  <si>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</si>
  <si>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</si>
  <si>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</si>
  <si>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</si>
  <si>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</si>
  <si>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</si>
  <si>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</si>
  <si>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</si>
  <si>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</si>
  <si>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</si>
  <si>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</si>
  <si>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</si>
  <si>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</si>
  <si>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</si>
  <si>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</si>
  <si>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</si>
  <si>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</si>
  <si>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</si>
  <si>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</si>
  <si>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</si>
  <si>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</si>
  <si>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</si>
  <si>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</si>
  <si>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</si>
  <si>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</si>
  <si>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</si>
  <si>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</si>
  <si>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</si>
  <si>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</si>
  <si>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</si>
  <si>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</si>
  <si>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</si>
  <si>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</si>
  <si>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</si>
  <si>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</si>
  <si>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</si>
  <si>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</si>
  <si>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</si>
  <si>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</si>
  <si>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</si>
  <si>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</si>
  <si>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</si>
  <si>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</si>
  <si>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</si>
  <si>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</si>
  <si>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</si>
  <si>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</si>
  <si>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</si>
  <si>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</si>
  <si>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</si>
  <si>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</si>
  <si>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</si>
  <si>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</si>
  <si>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</si>
  <si>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</si>
  <si>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</si>
  <si>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</si>
  <si>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</si>
  <si>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</si>
  <si>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</si>
  <si>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</si>
  <si>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</si>
  <si>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</si>
  <si>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</si>
  <si>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</si>
  <si>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</si>
  <si>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</si>
  <si>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</si>
  <si>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</si>
  <si>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</si>
  <si>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</si>
  <si>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</si>
  <si>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</si>
  <si>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</si>
  <si>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</si>
  <si>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</si>
  <si>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</si>
  <si>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</si>
  <si>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</si>
  <si>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</si>
  <si>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</si>
  <si>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</si>
  <si>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</si>
  <si>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</si>
  <si>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</si>
  <si>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</si>
  <si>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</si>
  <si>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</si>
  <si>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</si>
  <si>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</si>
  <si>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</si>
  <si>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</si>
  <si>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</si>
  <si>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</si>
  <si>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</si>
  <si>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</si>
  <si>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</si>
  <si>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</si>
  <si>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</si>
  <si>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</si>
  <si>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</si>
  <si>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</si>
  <si>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</si>
  <si>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</si>
  <si>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</si>
  <si>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</si>
  <si>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</si>
  <si>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</si>
  <si>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</si>
  <si>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</si>
  <si>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</si>
  <si>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</si>
  <si>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</si>
  <si>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</si>
  <si>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</si>
  <si>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</si>
  <si>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</si>
  <si>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</si>
  <si>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</si>
  <si>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</si>
  <si>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</si>
  <si>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</si>
  <si>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</si>
  <si>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</si>
  <si>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</si>
  <si>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</si>
  <si>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</si>
  <si>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</si>
  <si>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</si>
  <si>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</si>
  <si>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</si>
  <si>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</si>
  <si>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</si>
  <si>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</si>
  <si>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</si>
  <si>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</si>
  <si>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</si>
  <si>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</si>
  <si>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</si>
  <si>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</si>
  <si>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</si>
  <si>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</si>
  <si>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</si>
  <si>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</si>
  <si>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</si>
  <si>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</si>
  <si>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</si>
  <si>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</si>
  <si>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</si>
  <si>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</si>
  <si>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</si>
  <si>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</si>
  <si>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</si>
  <si>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</si>
  <si>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</si>
  <si>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</si>
  <si>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</si>
  <si>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</si>
  <si>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</si>
  <si>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</si>
  <si>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</si>
  <si>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</si>
  <si>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</si>
  <si>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</si>
  <si>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</si>
  <si>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</si>
  <si>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</si>
  <si>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</si>
  <si>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</si>
  <si>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</si>
  <si>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</si>
  <si>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</si>
  <si>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</si>
  <si>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</si>
  <si>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</si>
  <si>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</si>
  <si>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</si>
  <si>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</si>
  <si>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</si>
  <si>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</si>
  <si>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</si>
  <si>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</si>
  <si>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</si>
  <si>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</si>
  <si>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</si>
  <si>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</si>
  <si>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</si>
  <si>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</si>
  <si>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</si>
  <si>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</si>
  <si>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</si>
  <si>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</si>
  <si>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</si>
  <si>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</si>
  <si>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</si>
  <si>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</si>
  <si>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</si>
  <si>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</si>
  <si>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</si>
  <si>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</si>
  <si>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</si>
  <si>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</si>
  <si>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</si>
  <si>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</si>
  <si>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</si>
  <si>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</si>
  <si>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</si>
  <si>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</si>
  <si>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</si>
  <si>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</si>
  <si>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</si>
  <si>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</si>
  <si>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</si>
  <si>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</si>
  <si>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</si>
  <si>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</si>
  <si>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</si>
  <si>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</si>
  <si>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</si>
  <si>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</si>
  <si>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</si>
  <si>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</si>
  <si>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</si>
  <si>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</si>
  <si>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</si>
  <si>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</si>
  <si>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</si>
  <si>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</si>
  <si>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</si>
  <si>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</si>
  <si>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</si>
  <si>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</si>
  <si>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</si>
  <si>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</si>
  <si>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</si>
  <si>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</si>
  <si>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</si>
  <si>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</si>
  <si>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</si>
  <si>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</si>
  <si>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</si>
  <si>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</si>
  <si>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</si>
  <si>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</si>
  <si>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</si>
  <si>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</si>
  <si>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</si>
  <si>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</si>
  <si>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</si>
  <si>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</si>
  <si>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</si>
  <si>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</si>
  <si>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</si>
  <si>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</si>
  <si>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</si>
  <si>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</si>
  <si>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</si>
  <si>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</si>
  <si>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</si>
  <si>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</si>
  <si>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</si>
  <si>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</si>
  <si>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</si>
  <si>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</si>
  <si>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</si>
  <si>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</si>
  <si>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</si>
  <si>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</si>
  <si>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</si>
  <si>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</si>
  <si>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</si>
  <si>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</si>
  <si>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</si>
  <si>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</si>
  <si>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</si>
  <si>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</si>
  <si>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</si>
  <si>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</si>
  <si>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</si>
  <si>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</si>
  <si>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</si>
  <si>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</si>
  <si>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</si>
  <si>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</si>
  <si>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</si>
  <si>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</si>
  <si>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</si>
  <si>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</si>
  <si>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</si>
  <si>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</si>
  <si>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</si>
  <si>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</si>
  <si>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</si>
  <si>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</si>
  <si>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</si>
  <si>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</si>
  <si>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</si>
  <si>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</si>
  <si>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</si>
  <si>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</si>
  <si>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</si>
  <si>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</si>
  <si>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</si>
  <si>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</si>
  <si>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</si>
  <si>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</si>
  <si>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</si>
  <si>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</si>
  <si>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</si>
  <si>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</si>
  <si>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</si>
  <si>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</si>
  <si>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</si>
  <si>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</si>
  <si>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</si>
  <si>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</si>
  <si>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</si>
  <si>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</si>
  <si>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</si>
  <si>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</si>
  <si>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</si>
  <si>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</si>
  <si>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</si>
  <si>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</si>
  <si>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</si>
  <si>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</si>
  <si>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</si>
  <si>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</si>
  <si>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</si>
  <si>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</si>
  <si>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</si>
  <si>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</si>
  <si>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</si>
  <si>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</si>
  <si>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</si>
  <si>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</si>
  <si>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</si>
  <si>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</si>
  <si>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</si>
  <si>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</si>
  <si>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</si>
  <si>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</si>
  <si>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</si>
  <si>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</si>
  <si>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</si>
  <si>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</si>
  <si>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</si>
  <si>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</si>
  <si>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</si>
  <si>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</si>
  <si>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</si>
  <si>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</si>
  <si>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</si>
  <si>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</si>
  <si>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</si>
  <si>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</si>
  <si>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</si>
  <si>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</si>
  <si>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</si>
  <si>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</si>
  <si>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</si>
  <si>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</si>
  <si>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</si>
  <si>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</si>
  <si>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</si>
  <si>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</si>
  <si>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</si>
  <si>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</si>
  <si>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</si>
  <si>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</si>
  <si>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</si>
  <si>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</si>
  <si>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</si>
  <si>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</si>
  <si>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</si>
  <si>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</si>
  <si>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</si>
  <si>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</si>
  <si>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</si>
  <si>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</si>
  <si>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</si>
  <si>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</si>
  <si>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</si>
  <si>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</si>
  <si>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</si>
  <si>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</si>
  <si>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</si>
  <si>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</si>
  <si>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</si>
  <si>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</si>
  <si>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</si>
  <si>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</si>
  <si>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</si>
  <si>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</si>
  <si>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</si>
  <si>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</si>
  <si>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</si>
  <si>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</si>
  <si>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</si>
  <si>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</si>
  <si>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</si>
  <si>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</si>
  <si>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</si>
  <si>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</si>
  <si>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</si>
  <si>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</si>
  <si>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</si>
  <si>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</si>
  <si>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</si>
  <si>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</si>
  <si>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</si>
  <si>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</si>
  <si>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</si>
  <si>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</si>
  <si>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</si>
  <si>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</si>
  <si>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</si>
  <si>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</si>
  <si>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</si>
  <si>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</si>
  <si>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</si>
  <si>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</si>
  <si>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</si>
  <si>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</si>
  <si>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</si>
  <si>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</si>
  <si>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</si>
  <si>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</si>
  <si>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</si>
  <si>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</si>
  <si>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</si>
  <si>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</si>
  <si>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</si>
  <si>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</si>
  <si>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</si>
  <si>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</si>
  <si>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</si>
  <si>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</si>
  <si>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</si>
  <si>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</si>
  <si>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</si>
  <si>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</si>
  <si>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</si>
  <si>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</si>
  <si>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</si>
  <si>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</si>
  <si>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</si>
  <si>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</si>
  <si>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</si>
  <si>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</si>
  <si>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</si>
  <si>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</si>
  <si>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</si>
  <si>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</si>
  <si>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</si>
  <si>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</si>
  <si>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</si>
  <si>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</si>
  <si>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</si>
  <si>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</si>
  <si>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</si>
  <si>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</si>
  <si>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</si>
  <si>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</si>
  <si>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</si>
  <si>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</si>
  <si>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</si>
  <si>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</si>
  <si>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</si>
  <si>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</si>
  <si>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</si>
  <si>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</si>
  <si>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</si>
  <si>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</si>
  <si>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</si>
  <si>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</si>
  <si>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</si>
  <si>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</si>
  <si>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</si>
  <si>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</si>
  <si>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</si>
  <si>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</si>
  <si>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</si>
  <si>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</si>
  <si>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</si>
  <si>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</si>
  <si>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</si>
  <si>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</si>
  <si>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</si>
  <si>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</si>
  <si>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</si>
  <si>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</si>
  <si>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</si>
  <si>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</si>
  <si>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</si>
  <si>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</si>
  <si>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</si>
  <si>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</si>
  <si>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</si>
  <si>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</si>
  <si>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</si>
  <si>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</si>
  <si>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</si>
  <si>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</si>
  <si>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</si>
  <si>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</si>
  <si>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</si>
  <si>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</si>
  <si>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</si>
  <si>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</si>
  <si>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</si>
  <si>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</si>
  <si>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</si>
  <si>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</si>
  <si>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</si>
  <si>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</si>
  <si>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</si>
  <si>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</si>
  <si>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</si>
  <si>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</si>
  <si>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</si>
  <si>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</si>
  <si>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</si>
  <si>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</si>
  <si>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</si>
  <si>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</si>
  <si>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</si>
  <si>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</si>
  <si>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</si>
  <si>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</si>
  <si>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</si>
  <si>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</si>
  <si>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</si>
  <si>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</si>
  <si>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</si>
  <si>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</si>
  <si>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</si>
  <si>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</si>
  <si>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</si>
  <si>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</si>
  <si>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</si>
  <si>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</si>
  <si>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</si>
  <si>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</si>
  <si>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</si>
  <si>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</si>
  <si>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</si>
  <si>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</si>
  <si>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</si>
  <si>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</si>
  <si>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</si>
  <si>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</si>
  <si>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</si>
  <si>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</si>
  <si>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</si>
  <si>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</si>
  <si>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</si>
  <si>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</si>
  <si>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</si>
  <si>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</si>
  <si>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</si>
  <si>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</si>
  <si>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</si>
  <si>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</si>
  <si>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</si>
  <si>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</si>
  <si>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</si>
  <si>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</si>
  <si>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</si>
  <si>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</si>
  <si>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</si>
  <si>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</si>
  <si>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</si>
  <si>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</si>
  <si>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</si>
  <si>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</si>
  <si>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</si>
  <si>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</si>
  <si>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</si>
  <si>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</si>
  <si>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</si>
  <si>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</si>
  <si>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</si>
  <si>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</si>
  <si>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</si>
  <si>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</si>
  <si>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</si>
  <si>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</si>
  <si>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</si>
  <si>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</si>
  <si>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</si>
  <si>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</si>
  <si>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</si>
  <si>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</si>
  <si>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</si>
  <si>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</si>
  <si>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</si>
  <si>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</si>
  <si>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</si>
  <si>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</si>
  <si>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</si>
  <si>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</si>
  <si>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</si>
  <si>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</si>
  <si>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</si>
  <si>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</si>
  <si>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</si>
  <si>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</si>
  <si>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</si>
  <si>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</si>
  <si>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</si>
  <si>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</si>
  <si>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</si>
  <si>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</si>
  <si>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</si>
  <si>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</si>
  <si>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</si>
  <si>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</si>
  <si>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</si>
  <si>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</si>
  <si>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</si>
  <si>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</si>
  <si>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</si>
  <si>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</si>
  <si>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</si>
  <si>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</si>
  <si>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</si>
  <si>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</si>
  <si>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</si>
  <si>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</si>
  <si>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</si>
  <si>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</si>
  <si>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</si>
  <si>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</si>
  <si>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</si>
  <si>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</si>
  <si>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</si>
  <si>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</si>
  <si>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</si>
  <si>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</si>
  <si>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</si>
  <si>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</si>
  <si>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</si>
  <si>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</si>
  <si>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</si>
  <si>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</si>
  <si>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</si>
  <si>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</si>
  <si>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</si>
  <si>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</si>
  <si>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</si>
  <si>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</si>
  <si>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</si>
  <si>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</si>
  <si>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</si>
  <si>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</si>
  <si>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</si>
  <si>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</si>
  <si>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</si>
  <si>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</si>
  <si>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</si>
  <si>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</si>
  <si>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</si>
  <si>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</si>
  <si>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</si>
  <si>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</si>
  <si>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</si>
  <si>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</si>
  <si>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</si>
  <si>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</si>
  <si>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</si>
  <si>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</si>
  <si>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</si>
  <si>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</si>
  <si>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</si>
  <si>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</si>
  <si>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</si>
  <si>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</si>
  <si>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</si>
  <si>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</si>
  <si>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</si>
  <si>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</si>
  <si>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</si>
  <si>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</si>
  <si>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</si>
  <si>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</si>
  <si>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</si>
  <si>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</si>
  <si>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</si>
  <si>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</si>
  <si>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</si>
  <si>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</si>
  <si>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</si>
  <si>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</si>
  <si>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</si>
  <si>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</si>
  <si>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</si>
  <si>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</si>
  <si>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</si>
  <si>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</si>
  <si>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</si>
  <si>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</si>
  <si>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</si>
  <si>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</si>
  <si>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</si>
  <si>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</si>
  <si>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</si>
  <si>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</si>
  <si>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</si>
  <si>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</si>
  <si>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</si>
  <si>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</si>
  <si>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</si>
  <si>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</si>
  <si>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</si>
  <si>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</si>
  <si>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</si>
  <si>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</si>
  <si>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</si>
  <si>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</si>
  <si>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</si>
  <si>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</si>
  <si>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</si>
  <si>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</si>
  <si>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</si>
  <si>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</si>
  <si>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</si>
  <si>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</si>
  <si>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</si>
  <si>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</si>
  <si>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</si>
  <si>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</si>
  <si>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</si>
  <si>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</si>
  <si>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</si>
  <si>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</si>
  <si>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</si>
  <si>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</si>
  <si>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</si>
  <si>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</si>
  <si>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</si>
  <si>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</si>
  <si>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</si>
  <si>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</si>
  <si>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</si>
  <si>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</si>
  <si>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</si>
  <si>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</si>
  <si>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</si>
  <si>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</si>
  <si>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</si>
  <si>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</si>
  <si>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</si>
  <si>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</si>
  <si>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</si>
  <si>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</si>
  <si>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</si>
  <si>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</si>
  <si>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</si>
  <si>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</si>
  <si>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</si>
  <si>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</si>
  <si>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</si>
  <si>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</si>
  <si>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</si>
  <si>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</si>
  <si>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</si>
  <si>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</si>
  <si>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</si>
  <si>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</si>
  <si>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</si>
  <si>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</si>
  <si>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</si>
  <si>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</si>
  <si>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</si>
  <si>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</si>
  <si>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</si>
  <si>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</si>
  <si>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</si>
  <si>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</si>
  <si>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</si>
  <si>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</si>
  <si>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</si>
  <si>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</si>
  <si>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</si>
  <si>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</si>
  <si>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</si>
  <si>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</si>
  <si>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</si>
  <si>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</si>
  <si>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</si>
  <si>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</si>
  <si>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</si>
  <si>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</si>
  <si>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</si>
  <si>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</si>
  <si>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</si>
  <si>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</si>
  <si>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</si>
  <si>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</si>
  <si>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</si>
  <si>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</si>
  <si>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</si>
  <si>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</si>
  <si>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</si>
  <si>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</si>
  <si>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</si>
  <si>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</si>
  <si>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</si>
  <si>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</si>
  <si>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</si>
  <si>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</si>
  <si>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</si>
  <si>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</si>
  <si>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</si>
  <si>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</si>
  <si>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</si>
  <si>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</si>
  <si>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</si>
  <si>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</si>
  <si>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</si>
  <si>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</si>
  <si>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</si>
  <si>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</si>
  <si>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</si>
  <si>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</si>
  <si>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</si>
  <si>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</si>
  <si>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</si>
  <si>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</si>
  <si>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</si>
  <si>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</si>
  <si>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</si>
  <si>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</si>
  <si>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</si>
  <si>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</si>
  <si>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</si>
  <si>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</si>
  <si>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</si>
  <si>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</si>
  <si>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</si>
  <si>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</si>
  <si>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</si>
  <si>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</si>
  <si>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</si>
  <si>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</si>
  <si>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</si>
  <si>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</si>
  <si>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</si>
  <si>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</si>
  <si>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</si>
  <si>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</si>
  <si>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</si>
  <si>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</si>
  <si>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</si>
  <si>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</si>
  <si>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</si>
  <si>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</si>
  <si>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</si>
  <si>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</si>
  <si>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</si>
  <si>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</si>
  <si>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</si>
  <si>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</si>
  <si>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</si>
  <si>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</si>
  <si>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</si>
  <si>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</si>
  <si>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</si>
  <si>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</si>
  <si>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</si>
  <si>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</si>
  <si>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</si>
  <si>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</si>
  <si>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</si>
  <si>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</si>
  <si>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</si>
  <si>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</si>
  <si>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</si>
  <si>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</si>
  <si>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</si>
  <si>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</si>
  <si>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</si>
  <si>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</si>
  <si>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</si>
  <si>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</si>
  <si>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</si>
  <si>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</si>
  <si>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</si>
  <si>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</si>
  <si>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</si>
  <si>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</si>
  <si>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</si>
  <si>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</si>
  <si>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</si>
  <si>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</si>
  <si>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</si>
  <si>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</si>
  <si>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</si>
  <si>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</si>
  <si>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</si>
  <si>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</si>
  <si>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</si>
  <si>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</si>
  <si>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</si>
  <si>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</si>
  <si>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</si>
  <si>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</si>
  <si>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</si>
  <si>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</si>
  <si>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</si>
  <si>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</si>
  <si>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</si>
  <si>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</si>
  <si>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</si>
  <si>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</si>
  <si>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</si>
  <si>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</si>
  <si>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</si>
  <si>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</si>
  <si>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</si>
  <si>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</si>
  <si>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</si>
  <si>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</si>
  <si>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</si>
  <si>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</si>
  <si>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</si>
  <si>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</si>
  <si>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</si>
  <si>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</si>
  <si>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</si>
  <si>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</si>
  <si>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</si>
  <si>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</si>
  <si>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</si>
  <si>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</si>
  <si>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</si>
  <si>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</si>
  <si>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</si>
  <si>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</si>
  <si>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</si>
  <si>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</si>
  <si>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</si>
  <si>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</si>
  <si>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</si>
  <si>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</si>
  <si>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</si>
  <si>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</si>
  <si>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</si>
  <si>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</si>
  <si>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</si>
  <si>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</si>
  <si>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</si>
  <si>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</si>
  <si>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</si>
  <si>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</si>
  <si>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</si>
  <si>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</si>
  <si>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</si>
  <si>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</si>
  <si>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</si>
  <si>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</si>
  <si>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</si>
  <si>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</si>
  <si>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</si>
  <si>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</si>
  <si>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</si>
  <si>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</si>
  <si>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</si>
  <si>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</si>
  <si>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</si>
  <si>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</si>
  <si>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</si>
  <si>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</si>
  <si>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</si>
  <si>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</si>
  <si>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</si>
  <si>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</si>
  <si>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</si>
  <si>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</si>
  <si>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</si>
  <si>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</si>
  <si>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</si>
  <si>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</si>
  <si>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</si>
  <si>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</si>
  <si>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</si>
  <si>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</si>
  <si>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</si>
  <si>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</si>
  <si>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</si>
  <si>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</si>
  <si>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</si>
  <si>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</si>
  <si>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</si>
  <si>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</si>
  <si>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</si>
  <si>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</si>
  <si>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</si>
  <si>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</si>
  <si>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</si>
  <si>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</si>
  <si>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</si>
  <si>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</si>
  <si>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</si>
  <si>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</si>
  <si>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</si>
  <si>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</si>
  <si>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</si>
  <si>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</si>
  <si>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</si>
  <si>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</si>
  <si>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</si>
  <si>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</si>
  <si>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</si>
  <si>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</si>
  <si>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</si>
  <si>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</si>
  <si>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</si>
  <si>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</si>
  <si>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</si>
  <si>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</si>
  <si>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</si>
  <si>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</si>
  <si>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</si>
  <si>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</si>
  <si>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</si>
  <si>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</si>
  <si>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</si>
  <si>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</si>
  <si>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</si>
  <si>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</si>
  <si>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</si>
  <si>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</si>
  <si>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</si>
  <si>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</si>
  <si>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</si>
  <si>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</si>
  <si>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</si>
  <si>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</si>
  <si>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</si>
  <si>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</si>
  <si>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</si>
  <si>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</si>
  <si>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</si>
  <si>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</si>
  <si>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</si>
  <si>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</si>
  <si>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</si>
  <si>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</si>
  <si>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</si>
  <si>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</si>
  <si>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</si>
  <si>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</si>
  <si>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</si>
  <si>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</si>
  <si>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</si>
  <si>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</si>
  <si>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</si>
  <si>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</si>
  <si>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</si>
  <si>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</si>
  <si>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</si>
  <si>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</si>
  <si>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</si>
  <si>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</si>
  <si>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</si>
  <si>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</si>
  <si>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</si>
  <si>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</si>
  <si>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</si>
  <si>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</si>
  <si>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</si>
  <si>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</si>
  <si>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</si>
  <si>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</si>
  <si>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</si>
  <si>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</si>
  <si>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</si>
  <si>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</si>
  <si>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</si>
  <si>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</si>
  <si>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</si>
  <si>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</si>
  <si>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</si>
  <si>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</si>
  <si>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</si>
  <si>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</si>
  <si>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</si>
  <si>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</si>
  <si>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</si>
  <si>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</si>
  <si>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</si>
  <si>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</si>
  <si>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</si>
  <si>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</si>
  <si>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</si>
  <si>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</si>
  <si>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</si>
  <si>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</si>
  <si>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</si>
  <si>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</si>
  <si>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</si>
  <si>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</si>
  <si>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</si>
  <si>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</si>
  <si>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</si>
  <si>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</si>
  <si>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</si>
  <si>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</si>
  <si>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</si>
  <si>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</si>
  <si>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</si>
  <si>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</si>
  <si>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</si>
  <si>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</si>
  <si>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</si>
  <si>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</si>
  <si>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</si>
  <si>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</si>
  <si>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</si>
  <si>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</si>
  <si>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</si>
  <si>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</si>
  <si>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</si>
  <si>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</si>
  <si>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</si>
  <si>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</si>
  <si>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</si>
  <si>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</si>
  <si>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</si>
  <si>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</si>
  <si>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</si>
  <si>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</si>
  <si>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</si>
  <si>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</si>
  <si>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</si>
  <si>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</si>
  <si>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</si>
  <si>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</si>
  <si>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</si>
  <si>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</si>
  <si>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</si>
  <si>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</si>
  <si>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</si>
  <si>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</si>
  <si>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</si>
  <si>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</si>
  <si>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</si>
  <si>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</si>
  <si>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</si>
  <si>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</si>
  <si>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</si>
  <si>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</si>
  <si>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</si>
  <si>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</si>
  <si>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</si>
  <si>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</si>
  <si>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</si>
  <si>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</si>
  <si>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</si>
  <si>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</si>
  <si>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</si>
  <si>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</si>
  <si>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</si>
  <si>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</si>
  <si>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</si>
  <si>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</si>
  <si>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</si>
  <si>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</si>
  <si>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</si>
  <si>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</si>
  <si>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</si>
  <si>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</si>
  <si>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</si>
  <si>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</si>
  <si>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</si>
  <si>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</si>
  <si>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</si>
  <si>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</si>
  <si>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</si>
  <si>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</si>
  <si>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</si>
  <si>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</si>
  <si>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</si>
  <si>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</si>
  <si>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</si>
  <si>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</si>
  <si>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</si>
  <si>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</si>
  <si>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</si>
  <si>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</si>
  <si>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</si>
  <si>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</si>
  <si>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</si>
  <si>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</si>
  <si>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</si>
  <si>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</si>
  <si>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</si>
  <si>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</si>
  <si>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</si>
  <si>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</si>
  <si>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</si>
  <si>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</si>
  <si>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</si>
  <si>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</si>
  <si>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</si>
  <si>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</si>
  <si>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</si>
  <si>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</si>
  <si>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</si>
  <si>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</si>
  <si>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</si>
  <si>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</si>
  <si>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</si>
  <si>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</si>
  <si>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</si>
  <si>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</si>
  <si>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</si>
  <si>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</si>
  <si>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</si>
  <si>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</si>
  <si>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</si>
  <si>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</si>
  <si>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</si>
  <si>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</si>
  <si>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</si>
  <si>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</si>
  <si>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</si>
  <si>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</si>
  <si>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</si>
  <si>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</si>
  <si>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</si>
  <si>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</si>
  <si>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</si>
  <si>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</si>
  <si>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</si>
  <si>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</si>
  <si>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</si>
  <si>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</si>
  <si>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</si>
  <si>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</si>
  <si>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</si>
  <si>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</si>
  <si>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</si>
  <si>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</si>
  <si>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</si>
  <si>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</si>
  <si>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</si>
  <si>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</si>
  <si>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</si>
  <si>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</si>
  <si>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</si>
  <si>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</si>
  <si>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</si>
  <si>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</si>
  <si>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</si>
  <si>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</si>
  <si>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</si>
  <si>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</si>
  <si>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</si>
  <si>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</si>
  <si>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</si>
  <si>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</si>
  <si>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</si>
  <si>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</si>
  <si>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</si>
  <si>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</si>
  <si>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</si>
  <si>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</si>
  <si>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</si>
  <si>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</si>
  <si>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</si>
  <si>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</si>
  <si>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</si>
  <si>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</si>
  <si>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</si>
  <si>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</si>
  <si>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</si>
  <si>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</si>
  <si>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</si>
  <si>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</si>
  <si>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</si>
  <si>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</si>
  <si>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</si>
  <si>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</si>
  <si>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</si>
  <si>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</si>
  <si>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</si>
  <si>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</si>
  <si>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</si>
  <si>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</si>
  <si>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</si>
  <si>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</si>
  <si>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</si>
  <si>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</si>
  <si>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</si>
  <si>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</si>
  <si>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</si>
  <si>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</si>
  <si>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</si>
  <si>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</si>
  <si>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</si>
  <si>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</si>
  <si>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</si>
  <si>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</si>
  <si>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</si>
  <si>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</si>
  <si>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</si>
  <si>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</si>
  <si>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</si>
  <si>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</si>
  <si>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</si>
  <si>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</si>
  <si>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</si>
  <si>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</si>
  <si>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</si>
  <si>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</si>
  <si>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</si>
  <si>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</si>
  <si>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</si>
  <si>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</si>
  <si>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</si>
  <si>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</si>
  <si>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</si>
  <si>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</si>
  <si>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</si>
  <si>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</si>
  <si>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</si>
  <si>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</si>
  <si>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</si>
  <si>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</si>
  <si>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</si>
  <si>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</si>
  <si>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</si>
  <si>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</si>
  <si>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</si>
  <si>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</si>
  <si>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</si>
  <si>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</si>
  <si>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</si>
  <si>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</si>
  <si>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</si>
  <si>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</si>
  <si>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</si>
  <si>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</si>
  <si>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</si>
  <si>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</si>
  <si>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</si>
  <si>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</si>
  <si>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</si>
  <si>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</si>
  <si>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</si>
  <si>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</si>
  <si>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</si>
  <si>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</si>
  <si>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</si>
  <si>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</si>
  <si>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</si>
  <si>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</si>
  <si>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</si>
  <si>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</si>
  <si>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</si>
  <si>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</si>
  <si>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</si>
  <si>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</si>
  <si>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</si>
  <si>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</si>
  <si>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</si>
  <si>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</si>
  <si>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</si>
  <si>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</si>
  <si>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</si>
  <si>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</si>
  <si>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</si>
  <si>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</si>
  <si>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</si>
  <si>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</si>
  <si>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</si>
  <si>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</si>
  <si>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</si>
  <si>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</si>
  <si>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</si>
  <si>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</si>
  <si>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</si>
  <si>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</si>
  <si>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</si>
  <si>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</si>
  <si>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</si>
  <si>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</si>
  <si>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</si>
  <si>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</si>
  <si>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</si>
  <si>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</si>
  <si>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</si>
  <si>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</si>
  <si>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</si>
  <si>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</si>
  <si>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</si>
  <si>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</si>
  <si>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</si>
  <si>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</si>
  <si>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</si>
  <si>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</si>
  <si>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</si>
  <si>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</si>
  <si>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</si>
  <si>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</si>
  <si>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</si>
  <si>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</si>
  <si>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</si>
  <si>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</si>
  <si>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</si>
  <si>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</si>
  <si>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</si>
  <si>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</si>
  <si>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</si>
  <si>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</si>
  <si>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</si>
  <si>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</si>
  <si>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</si>
  <si>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</si>
  <si>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</si>
  <si>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</si>
  <si>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</si>
  <si>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</si>
  <si>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</si>
  <si>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</si>
  <si>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</si>
  <si>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</si>
  <si>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</si>
  <si>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</si>
  <si>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</si>
  <si>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</si>
  <si>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</si>
  <si>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</si>
  <si>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</si>
  <si>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</si>
  <si>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</si>
  <si>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</si>
  <si>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</si>
  <si>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</si>
  <si>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</si>
  <si>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</si>
  <si>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</si>
  <si>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</si>
  <si>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</si>
  <si>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</si>
  <si>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</si>
  <si>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</si>
  <si>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</si>
  <si>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</si>
  <si>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</si>
  <si>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</si>
  <si>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</si>
  <si>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</si>
  <si>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</si>
  <si>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</si>
  <si>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</si>
  <si>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</si>
  <si>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</si>
  <si>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</si>
  <si>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</si>
  <si>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</si>
  <si>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</si>
  <si>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</si>
  <si>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</si>
  <si>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</si>
  <si>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</si>
  <si>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</si>
  <si>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</si>
  <si>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</si>
  <si>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</si>
  <si>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</si>
  <si>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</si>
  <si>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</si>
  <si>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</si>
  <si>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</si>
  <si>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</si>
  <si>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</si>
  <si>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</si>
  <si>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</si>
  <si>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</si>
  <si>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</si>
  <si>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</si>
  <si>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</si>
  <si>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</si>
  <si>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</si>
  <si>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</si>
  <si>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</si>
  <si>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</si>
  <si>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</si>
  <si>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</si>
  <si>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</si>
  <si>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</si>
  <si>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</si>
  <si>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</si>
  <si>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</si>
  <si>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</si>
  <si>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</si>
  <si>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</si>
  <si>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</si>
  <si>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</si>
  <si>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</si>
  <si>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</si>
  <si>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</si>
  <si>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</si>
  <si>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</si>
  <si>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</si>
  <si>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</si>
  <si>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</si>
  <si>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</si>
  <si>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</si>
  <si>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</si>
  <si>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</si>
  <si>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</si>
  <si>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</si>
  <si>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</si>
  <si>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</si>
  <si>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</si>
  <si>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</si>
  <si>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</si>
  <si>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</si>
  <si>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</si>
  <si>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</si>
  <si>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</si>
  <si>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</si>
  <si>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</si>
  <si>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</si>
  <si>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</si>
  <si>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</si>
  <si>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</si>
  <si>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</si>
  <si>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</si>
  <si>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</si>
  <si>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</si>
  <si>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</si>
  <si>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</si>
  <si>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</si>
  <si>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</si>
  <si>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</si>
  <si>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</si>
  <si>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</si>
  <si>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</si>
  <si>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</si>
  <si>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</si>
  <si>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</si>
  <si>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</si>
  <si>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</si>
  <si>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</si>
  <si>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</si>
  <si>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</si>
  <si>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</si>
  <si>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</si>
  <si>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</si>
  <si>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</si>
  <si>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</si>
  <si>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</si>
  <si>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</si>
  <si>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</si>
  <si>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</si>
  <si>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</si>
  <si>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</si>
  <si>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</si>
  <si>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</si>
  <si>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</si>
  <si>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</si>
  <si>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</si>
  <si>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</si>
  <si>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</si>
  <si>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</si>
  <si>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</si>
  <si>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</si>
  <si>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</si>
  <si>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</si>
  <si>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</si>
  <si>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</si>
  <si>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</si>
  <si>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</si>
  <si>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</si>
  <si>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</si>
  <si>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</si>
  <si>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</si>
  <si>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</si>
  <si>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</si>
  <si>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</si>
  <si>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</si>
  <si>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</si>
  <si>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</si>
  <si>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</si>
  <si>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</si>
  <si>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</si>
  <si>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</si>
  <si>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</si>
  <si>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</si>
  <si>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</si>
  <si>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</si>
  <si>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</si>
  <si>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</si>
  <si>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</si>
  <si>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</si>
  <si>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</si>
  <si>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</si>
  <si>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</si>
  <si>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</si>
  <si>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</si>
  <si>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</si>
  <si>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</si>
  <si>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</si>
  <si>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</si>
  <si>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</si>
  <si>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</si>
  <si>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</si>
  <si>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</si>
  <si>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</si>
  <si>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</si>
  <si>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</si>
  <si>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</si>
  <si>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</si>
  <si>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</si>
  <si>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</si>
  <si>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</si>
  <si>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</si>
  <si>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</si>
  <si>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</si>
  <si>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</si>
  <si>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</si>
  <si>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</si>
  <si>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</si>
  <si>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</si>
  <si>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</si>
  <si>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</si>
  <si>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</si>
  <si>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</si>
  <si>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</si>
  <si>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</si>
  <si>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</si>
  <si>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</si>
  <si>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</si>
  <si>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</si>
  <si>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</si>
  <si>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</si>
  <si>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</si>
  <si>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</si>
  <si>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</si>
  <si>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</si>
  <si>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</si>
  <si>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</si>
  <si>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</si>
  <si>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</si>
  <si>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</si>
  <si>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</si>
  <si>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</si>
  <si>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</si>
  <si>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</si>
  <si>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</si>
  <si>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</si>
  <si>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</si>
  <si>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</si>
  <si>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</si>
  <si>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</si>
  <si>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</si>
  <si>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</si>
  <si>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</si>
  <si>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</si>
  <si>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</si>
  <si>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</si>
  <si>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</si>
  <si>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</si>
  <si>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</si>
  <si>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</si>
  <si>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</si>
  <si>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</si>
  <si>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</si>
  <si>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</si>
  <si>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</si>
  <si>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</si>
  <si>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</si>
  <si>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</si>
  <si>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</si>
  <si>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</si>
  <si>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</si>
  <si>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</si>
  <si>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</si>
  <si>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</si>
  <si>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</si>
  <si>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</si>
  <si>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</si>
  <si>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</si>
  <si>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</si>
  <si>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</si>
  <si>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</si>
  <si>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</si>
  <si>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</si>
  <si>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</si>
  <si>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</si>
  <si>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</si>
  <si>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</si>
  <si>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</si>
  <si>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</si>
  <si>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</si>
  <si>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</si>
  <si>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</si>
  <si>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</si>
  <si>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</si>
  <si>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</si>
  <si>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</si>
  <si>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</si>
  <si>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</si>
  <si>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</si>
  <si>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</si>
  <si>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</si>
  <si>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</si>
  <si>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</si>
  <si>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</si>
  <si>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</si>
  <si>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</si>
  <si>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</si>
  <si>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</si>
  <si>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</si>
  <si>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</si>
  <si>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</si>
  <si>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</si>
  <si>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</si>
  <si>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</si>
  <si>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</si>
  <si>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</si>
  <si>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</si>
  <si>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</si>
  <si>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</si>
  <si>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</si>
  <si>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</si>
  <si>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</si>
  <si>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</si>
  <si>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</si>
  <si>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</si>
  <si>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</si>
  <si>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</si>
  <si>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</si>
  <si>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</si>
  <si>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</si>
  <si>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</si>
  <si>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</si>
  <si>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</si>
  <si>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</si>
  <si>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</si>
  <si>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</si>
  <si>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</si>
  <si>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</si>
  <si>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</si>
  <si>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</si>
  <si>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</si>
  <si>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</si>
  <si>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</si>
  <si>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</si>
  <si>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</si>
  <si>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</si>
  <si>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</si>
  <si>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</si>
  <si>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</si>
  <si>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</si>
  <si>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</si>
  <si>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</si>
  <si>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</si>
  <si>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</si>
  <si>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</si>
  <si>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</si>
  <si>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</si>
  <si>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</si>
  <si>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</si>
  <si>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</si>
  <si>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</si>
  <si>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</si>
  <si>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</si>
  <si>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</si>
  <si>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</si>
  <si>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</si>
  <si>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</si>
  <si>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</si>
  <si>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</si>
  <si>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</si>
  <si>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</si>
  <si>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</si>
  <si>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</si>
  <si>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</si>
  <si>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</si>
  <si>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</si>
  <si>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</si>
  <si>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</si>
  <si>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</si>
  <si>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</si>
  <si>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</si>
  <si>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</si>
  <si>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</si>
  <si>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</si>
  <si>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</si>
  <si>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</si>
  <si>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</si>
  <si>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</si>
  <si>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</si>
  <si>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</si>
  <si>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</si>
  <si>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</si>
  <si>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</si>
  <si>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</si>
  <si>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</si>
  <si>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</si>
  <si>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</si>
  <si>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</si>
  <si>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</si>
  <si>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</si>
  <si>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</si>
  <si>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</si>
  <si>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</si>
  <si>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</si>
  <si>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</si>
  <si>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</si>
  <si>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</si>
  <si>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</si>
  <si>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</si>
  <si>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</si>
  <si>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</si>
  <si>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</si>
  <si>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</si>
  <si>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</si>
  <si>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</si>
  <si>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</si>
  <si>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</si>
  <si>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</si>
  <si>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</si>
  <si>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</si>
  <si>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</si>
  <si>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</si>
  <si>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</si>
  <si>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</si>
  <si>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</si>
  <si>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</si>
  <si>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</si>
  <si>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</si>
  <si>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</si>
  <si>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</si>
  <si>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</si>
  <si>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</si>
  <si>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</si>
  <si>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</si>
  <si>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</si>
  <si>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</si>
  <si>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</si>
  <si>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</si>
  <si>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</si>
  <si>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</si>
  <si>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</si>
  <si>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</si>
  <si>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</si>
  <si>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</si>
  <si>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</si>
  <si>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</si>
  <si>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</si>
  <si>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</si>
  <si>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</si>
  <si>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</si>
  <si>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</si>
  <si>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</si>
  <si>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</si>
  <si>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</si>
  <si>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</si>
  <si>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</si>
  <si>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</si>
  <si>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</si>
  <si>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</si>
  <si>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</si>
  <si>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</si>
  <si>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</si>
  <si>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</si>
  <si>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</si>
  <si>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</si>
  <si>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</si>
  <si>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</si>
  <si>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LHDL Rel 6</t>
  </si>
  <si>
    <t>Exotic honeysuckle sp.</t>
  </si>
  <si>
    <t>Sceptridium sp.</t>
  </si>
  <si>
    <t>Cf. Schizachne purpurascens</t>
  </si>
  <si>
    <t>Carex sp. 2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</si>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</sst>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62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44069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7" t="s">
        <v>4805</v>
      </c>
      <c r="B22" s="147"/>
      <c r="C22" s="147"/>
      <c r="D22" s="147"/>
      <c r="E22" s="14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6" t="s">
        <v>4806</v>
      </c>
      <c r="B24" s="146"/>
      <c r="C24" s="146"/>
      <c r="D24" s="146"/>
      <c r="E24" s="14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8"/>
      <c r="D93" s="139" t="s">
        <v>44</v>
      </c>
      <c r="E93" s="140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43" t="s">
        <v>31</v>
      </c>
      <c r="C95" s="144"/>
      <c r="D95" s="3" t="s">
        <v>47</v>
      </c>
      <c r="E95" s="9">
        <v>7</v>
      </c>
    </row>
    <row r="96" spans="1:5" x14ac:dyDescent="0.2">
      <c r="A96" s="73" t="s">
        <v>3</v>
      </c>
      <c r="B96" s="143" t="s">
        <v>32</v>
      </c>
      <c r="C96" s="144"/>
      <c r="D96" s="3" t="s">
        <v>48</v>
      </c>
      <c r="E96" s="9">
        <v>6</v>
      </c>
    </row>
    <row r="97" spans="1:5" x14ac:dyDescent="0.2">
      <c r="A97" s="73" t="s">
        <v>25</v>
      </c>
      <c r="B97" s="143" t="s">
        <v>33</v>
      </c>
      <c r="C97" s="144"/>
      <c r="D97" s="3" t="s">
        <v>49</v>
      </c>
      <c r="E97" s="9">
        <v>5</v>
      </c>
    </row>
    <row r="98" spans="1:5" x14ac:dyDescent="0.2">
      <c r="A98" s="73" t="s">
        <v>26</v>
      </c>
      <c r="B98" s="143" t="s">
        <v>34</v>
      </c>
      <c r="C98" s="144"/>
      <c r="D98" s="3" t="s">
        <v>50</v>
      </c>
      <c r="E98" s="9">
        <v>4</v>
      </c>
    </row>
    <row r="99" spans="1:5" x14ac:dyDescent="0.2">
      <c r="A99" s="73" t="s">
        <v>27</v>
      </c>
      <c r="B99" s="143" t="s">
        <v>35</v>
      </c>
      <c r="C99" s="144"/>
      <c r="D99" s="3" t="s">
        <v>4</v>
      </c>
      <c r="E99" s="9">
        <v>3</v>
      </c>
    </row>
    <row r="100" spans="1:5" x14ac:dyDescent="0.2">
      <c r="A100" s="73" t="s">
        <v>2</v>
      </c>
      <c r="B100" s="143" t="s">
        <v>36</v>
      </c>
      <c r="C100" s="144"/>
      <c r="D100" s="3" t="s">
        <v>5</v>
      </c>
      <c r="E100" s="9">
        <v>2</v>
      </c>
    </row>
    <row r="101" spans="1:5" x14ac:dyDescent="0.2">
      <c r="A101" s="73" t="s">
        <v>28</v>
      </c>
      <c r="B101" s="143" t="s">
        <v>37</v>
      </c>
      <c r="C101" s="14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0" t="s">
        <v>38</v>
      </c>
      <c r="C102" s="151"/>
      <c r="D102" s="5"/>
      <c r="E102" s="8"/>
    </row>
    <row r="103" spans="1:5" ht="13.5" thickBot="1" x14ac:dyDescent="0.25">
      <c r="A103" s="136" t="s">
        <v>68</v>
      </c>
      <c r="B103" s="137"/>
      <c r="C103" s="138"/>
      <c r="D103" s="139" t="s">
        <v>45</v>
      </c>
      <c r="E103" s="14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40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43" t="s">
        <v>41</v>
      </c>
      <c r="C114" s="144"/>
    </row>
    <row r="115" spans="1:3" x14ac:dyDescent="0.2">
      <c r="A115" s="74" t="s">
        <v>15</v>
      </c>
      <c r="B115" s="148" t="s">
        <v>42</v>
      </c>
      <c r="C115" s="14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4" t="s">
        <v>138</v>
      </c>
      <c r="B2" s="154"/>
      <c r="C2" s="15"/>
      <c r="D2" s="15"/>
      <c r="E2" s="15"/>
      <c r="F2" s="15"/>
      <c r="G2" s="15"/>
      <c r="H2" s="15"/>
    </row>
    <row r="3" spans="1:14" x14ac:dyDescent="0.2">
      <c r="A3" s="155" t="s">
        <v>52</v>
      </c>
      <c r="B3" s="155"/>
      <c r="C3" s="15"/>
      <c r="D3" s="15"/>
      <c r="E3" s="15"/>
      <c r="F3" s="15"/>
      <c r="G3" s="15"/>
      <c r="H3" s="15"/>
    </row>
    <row r="4" spans="1:14" x14ac:dyDescent="0.2">
      <c r="A4" s="155" t="s">
        <v>55</v>
      </c>
      <c r="B4" s="155"/>
      <c r="C4" s="15"/>
      <c r="D4" s="15"/>
      <c r="E4" s="15"/>
      <c r="F4" s="15"/>
      <c r="G4" s="15"/>
      <c r="H4" s="15"/>
    </row>
    <row r="5" spans="1:14" x14ac:dyDescent="0.2">
      <c r="A5" s="155" t="s">
        <v>51</v>
      </c>
      <c r="B5" s="155"/>
      <c r="C5" s="15"/>
      <c r="D5" s="15"/>
      <c r="E5" s="15"/>
      <c r="F5" s="15"/>
      <c r="G5" s="15"/>
      <c r="H5" s="15"/>
    </row>
    <row r="6" spans="1:14" x14ac:dyDescent="0.2">
      <c r="A6" s="152" t="s">
        <v>128</v>
      </c>
      <c r="B6" s="152"/>
    </row>
    <row r="7" spans="1:14" x14ac:dyDescent="0.2">
      <c r="A7" s="152" t="s">
        <v>129</v>
      </c>
      <c r="B7" s="152"/>
      <c r="C7" s="153"/>
      <c r="D7" s="153"/>
      <c r="E7" s="153"/>
      <c r="F7" s="15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2530" zoomScale="70" zoomScaleNormal="70" workbookViewId="0">
      <selection activeCell="A2879" sqref="A287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4887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4853</v>
      </c>
      <c r="B822" s="113" t="s">
        <v>2293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2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1" customFormat="1" x14ac:dyDescent="0.2">
      <c r="A985" s="36" t="s">
        <v>4851</v>
      </c>
      <c r="B985" s="113" t="s">
        <v>4852</v>
      </c>
      <c r="C985" s="39">
        <v>7</v>
      </c>
      <c r="D985" s="113" t="s">
        <v>149</v>
      </c>
      <c r="E985" s="114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0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3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4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18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5" t="s">
        <v>4885</v>
      </c>
      <c r="C1457" s="39">
        <v>4</v>
      </c>
      <c r="D1457" s="113" t="s">
        <v>149</v>
      </c>
      <c r="E1457" s="113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3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6" customFormat="1" ht="15" x14ac:dyDescent="0.25">
      <c r="A1646" s="107" t="s">
        <v>4844</v>
      </c>
      <c r="C1646" s="106">
        <v>0</v>
      </c>
      <c r="D1646" s="106" t="s">
        <v>157</v>
      </c>
      <c r="E1646" s="106" t="s">
        <v>152</v>
      </c>
    </row>
    <row r="1647" spans="1:6" s="117" customFormat="1" ht="15" x14ac:dyDescent="0.25">
      <c r="A1647" s="120" t="s">
        <v>4844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4861</v>
      </c>
      <c r="C1648" s="117">
        <v>0</v>
      </c>
      <c r="D1648" s="117" t="s">
        <v>157</v>
      </c>
      <c r="E1648" s="117" t="s">
        <v>152</v>
      </c>
    </row>
    <row r="1649" spans="1:6" s="117" customFormat="1" ht="15" x14ac:dyDescent="0.25">
      <c r="A1649" s="120" t="s">
        <v>4861</v>
      </c>
      <c r="C1649" s="117">
        <v>0</v>
      </c>
      <c r="D1649" s="117" t="s">
        <v>157</v>
      </c>
      <c r="E1649" s="117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28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2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18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5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3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18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5" t="s">
        <v>4882</v>
      </c>
      <c r="C2445" s="39">
        <v>2</v>
      </c>
      <c r="D2445" s="113" t="s">
        <v>157</v>
      </c>
      <c r="E2445" s="126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18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27" customFormat="1" x14ac:dyDescent="0.2">
      <c r="A2530" s="36" t="s">
        <v>3958</v>
      </c>
      <c r="C2530" s="37">
        <v>3</v>
      </c>
      <c r="D2530" s="127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0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09" customFormat="1" ht="15" x14ac:dyDescent="0.25">
      <c r="A2602" s="110" t="s">
        <v>4848</v>
      </c>
      <c r="B2602" s="109" t="s">
        <v>4849</v>
      </c>
      <c r="C2602" s="109">
        <v>0</v>
      </c>
      <c r="D2602" s="109" t="s">
        <v>149</v>
      </c>
      <c r="E2602" s="109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16" customFormat="1" x14ac:dyDescent="0.2">
      <c r="A2676" s="36" t="s">
        <v>4856</v>
      </c>
      <c r="B2676" s="116" t="s">
        <v>4152</v>
      </c>
      <c r="C2676" s="116">
        <v>1</v>
      </c>
      <c r="D2676" s="116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25" t="s">
        <v>4884</v>
      </c>
      <c r="C2844" s="39">
        <v>1</v>
      </c>
      <c r="D2844" s="113" t="s">
        <v>149</v>
      </c>
      <c r="E2844" s="126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29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08" customFormat="1" x14ac:dyDescent="0.2">
      <c r="A3047" s="36" t="s">
        <v>4845</v>
      </c>
      <c r="B3047" s="108" t="s">
        <v>4846</v>
      </c>
      <c r="C3047" s="37">
        <v>0</v>
      </c>
      <c r="D3047" s="108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18" t="s">
        <v>4858</v>
      </c>
      <c r="C3071" s="39">
        <v>4</v>
      </c>
      <c r="D3071" s="31" t="s">
        <v>149</v>
      </c>
      <c r="E3071" s="39" t="s">
        <v>147</v>
      </c>
    </row>
    <row r="3072" spans="1:7" s="119" customFormat="1" ht="15" x14ac:dyDescent="0.25">
      <c r="A3072" s="121" t="s">
        <v>4867</v>
      </c>
      <c r="C3072" s="39">
        <v>4</v>
      </c>
      <c r="D3072" s="119" t="s">
        <v>149</v>
      </c>
      <c r="E3072" s="39" t="s">
        <v>147</v>
      </c>
    </row>
    <row r="3073" spans="1:7" s="119" customFormat="1" ht="15" x14ac:dyDescent="0.25">
      <c r="A3073" s="121" t="s">
        <v>4868</v>
      </c>
      <c r="C3073" s="39">
        <v>7</v>
      </c>
      <c r="D3073" s="119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24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70" zoomScaleNormal="7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103" t="s">
        <v>5476</v>
      </c>
      <c r="C2" s="46" t="str">
        <f>CONCATENATE(B2,2024)</f>
        <v>LHDL rel 1-62024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5">
        <f t="shared" ref="N10:N75" si="2">L10/$L$151</f>
        <v>5.736137667304015E-2</v>
      </c>
      <c r="O10" s="105">
        <f t="shared" ref="O10:O11" si="3">D10*N10</f>
        <v>0.1147227533460803</v>
      </c>
    </row>
    <row r="11" spans="1:15" x14ac:dyDescent="0.2">
      <c r="A11" s="135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5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5">
        <f t="shared" si="2"/>
        <v>5.736137667304015E-2</v>
      </c>
      <c r="O11" s="105">
        <f t="shared" si="3"/>
        <v>0.1147227533460803</v>
      </c>
    </row>
    <row r="12" spans="1:15" x14ac:dyDescent="0.2">
      <c r="A12" s="135" t="s">
        <v>1231</v>
      </c>
      <c r="B12" s="44" t="str">
        <f>IF(LEN(VLOOKUP(A12,'Species List'!$A:$G,2,FALSE))=0,"",VLOOKUP(A12,'Species List'!$A:$G,2,FALSE))</f>
        <v>Asian bittersweet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35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1.1472275334608031E-2</v>
      </c>
      <c r="O12" s="85">
        <f>D12*N12</f>
        <v>0</v>
      </c>
    </row>
    <row r="13" spans="1:15" x14ac:dyDescent="0.2">
      <c r="A13" s="135"/>
      <c r="B13" s="44"/>
      <c r="C13" s="44"/>
      <c r="D13" s="98"/>
      <c r="E13" s="44"/>
      <c r="F13" s="44"/>
      <c r="G13" s="44"/>
      <c r="H13" s="44"/>
      <c r="J13" s="135"/>
      <c r="K13" s="47"/>
      <c r="L13" s="47"/>
      <c r="M13" s="99"/>
      <c r="O13" s="97"/>
    </row>
    <row r="14" spans="1:15" x14ac:dyDescent="0.2">
      <c r="A14" s="135"/>
      <c r="B14" s="44"/>
      <c r="C14" s="44"/>
      <c r="D14" s="98"/>
      <c r="E14" s="44"/>
      <c r="F14" s="44"/>
      <c r="G14" s="44"/>
      <c r="H14" s="44"/>
      <c r="J14" s="135"/>
      <c r="K14" s="47"/>
      <c r="L14" s="47"/>
      <c r="M14" s="99"/>
      <c r="O14" s="97"/>
    </row>
    <row r="15" spans="1:15" x14ac:dyDescent="0.2">
      <c r="A15" s="135"/>
      <c r="B15" s="44"/>
      <c r="C15" s="44"/>
      <c r="D15" s="98"/>
      <c r="E15" s="44"/>
      <c r="F15" s="44"/>
      <c r="G15" s="44"/>
      <c r="H15" s="44"/>
      <c r="J15" s="135"/>
      <c r="K15" s="47"/>
      <c r="L15" s="47"/>
      <c r="M15" s="99"/>
      <c r="O15" s="97"/>
    </row>
    <row r="16" spans="1:15" x14ac:dyDescent="0.2">
      <c r="A16" s="135"/>
      <c r="B16" s="44"/>
      <c r="C16" s="44"/>
      <c r="D16" s="98"/>
      <c r="E16" s="44"/>
      <c r="F16" s="44"/>
      <c r="G16" s="44"/>
      <c r="H16" s="44"/>
      <c r="J16" s="135"/>
      <c r="K16" s="47"/>
      <c r="L16" s="47"/>
      <c r="M16" s="99"/>
      <c r="O16" s="97"/>
    </row>
    <row r="17" spans="1:15" x14ac:dyDescent="0.2">
      <c r="A17" s="135"/>
      <c r="B17" s="44"/>
      <c r="C17" s="44"/>
      <c r="D17" s="98"/>
      <c r="E17" s="44"/>
      <c r="F17" s="44"/>
      <c r="G17" s="44"/>
      <c r="H17" s="44"/>
      <c r="J17" s="135"/>
      <c r="K17" s="47"/>
      <c r="L17" s="47"/>
      <c r="M17" s="99"/>
      <c r="O17" s="97"/>
    </row>
    <row r="18" spans="1:15" x14ac:dyDescent="0.2">
      <c r="A18" s="135"/>
      <c r="B18" s="44"/>
      <c r="C18" s="44"/>
      <c r="D18" s="98"/>
      <c r="E18" s="44"/>
      <c r="F18" s="44"/>
      <c r="G18" s="44"/>
      <c r="H18" s="44"/>
      <c r="J18" s="135"/>
      <c r="K18" s="47"/>
      <c r="L18" s="47"/>
      <c r="M18" s="99"/>
      <c r="O18" s="97"/>
    </row>
    <row r="19" spans="1:15" x14ac:dyDescent="0.2">
      <c r="A19" s="135"/>
      <c r="B19" s="44"/>
      <c r="C19" s="44"/>
      <c r="D19" s="98"/>
      <c r="E19" s="44"/>
      <c r="F19" s="44"/>
      <c r="G19" s="44"/>
      <c r="H19" s="44"/>
      <c r="J19" s="135"/>
      <c r="K19" s="47"/>
      <c r="L19" s="47"/>
      <c r="M19" s="99"/>
      <c r="O19" s="97"/>
    </row>
    <row r="20" spans="1:15" x14ac:dyDescent="0.2">
      <c r="A20" s="135" t="s">
        <v>3801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ref="D20:D76" si="4">VALUE(C20)</f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5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ref="M20:M76" si="5">VALUE(L20)</f>
        <v>3</v>
      </c>
      <c r="N20" s="85">
        <f t="shared" si="2"/>
        <v>1.1472275334608031E-2</v>
      </c>
      <c r="O20" s="97">
        <f t="shared" ref="O20:O76" si="6">D20*N20</f>
        <v>3.4416826003824091E-2</v>
      </c>
    </row>
    <row r="21" spans="1:15" x14ac:dyDescent="0.2">
      <c r="A21" s="135" t="s">
        <v>4214</v>
      </c>
      <c r="B21" s="44" t="str">
        <f>IF(LEN(VLOOKUP(A21,'Species List'!$A:$G,2,FALSE))=0,"",VLOOKUP(A21,'Species List'!$A:$G,2,FALSE))</f>
        <v>European mountain ash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5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1.9120458891013384E-3</v>
      </c>
      <c r="O21" s="97">
        <f t="shared" si="6"/>
        <v>0</v>
      </c>
    </row>
    <row r="22" spans="1:15" x14ac:dyDescent="0.2">
      <c r="A22" s="135" t="s">
        <v>3717</v>
      </c>
      <c r="B22" s="44" t="str">
        <f>IF(LEN(VLOOKUP(A22,'Species List'!$A:$G,2,FALSE))=0,"",VLOOKUP(A22,'Species List'!$A:$G,2,FALSE))</f>
        <v>smooth sumac</v>
      </c>
      <c r="C22" s="44">
        <f>IF(LEN(VLOOKUP(A22,'Species List'!$A:$G,3,FALSE))=0,"",VLOOKUP(A22,'Species List'!$A:$G,3,FALSE))</f>
        <v>2</v>
      </c>
      <c r="D22" s="98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5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1.1472275334608031E-2</v>
      </c>
      <c r="O22" s="97">
        <f t="shared" si="6"/>
        <v>2.2944550669216062E-2</v>
      </c>
    </row>
    <row r="23" spans="1:15" x14ac:dyDescent="0.2">
      <c r="A23" s="135" t="s">
        <v>3647</v>
      </c>
      <c r="B23" s="44" t="str">
        <f>IF(LEN(VLOOKUP(A23,'Species List'!$A:$G,2,FALSE))=0,"",VLOOKUP(A23,'Species List'!$A:$G,2,FALSE))</f>
        <v>bur oak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35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1.9120458891013384E-3</v>
      </c>
      <c r="O23" s="97">
        <f t="shared" si="6"/>
        <v>9.5602294455066923E-3</v>
      </c>
    </row>
    <row r="24" spans="1:15" x14ac:dyDescent="0.2">
      <c r="A24" s="135"/>
      <c r="B24" s="44"/>
      <c r="C24" s="44"/>
      <c r="D24" s="98"/>
      <c r="E24" s="44"/>
      <c r="F24" s="44"/>
      <c r="G24" s="44"/>
      <c r="H24" s="44"/>
      <c r="J24" s="135"/>
      <c r="K24" s="47"/>
      <c r="L24" s="47"/>
      <c r="M24" s="99"/>
      <c r="O24" s="97"/>
    </row>
    <row r="25" spans="1:15" x14ac:dyDescent="0.2">
      <c r="A25" s="135"/>
      <c r="B25" s="44"/>
      <c r="C25" s="44"/>
      <c r="D25" s="98"/>
      <c r="E25" s="44"/>
      <c r="F25" s="44"/>
      <c r="G25" s="44"/>
      <c r="H25" s="44"/>
      <c r="J25" s="135"/>
      <c r="K25" s="47"/>
      <c r="L25" s="47"/>
      <c r="M25" s="99"/>
      <c r="O25" s="97"/>
    </row>
    <row r="26" spans="1:15" x14ac:dyDescent="0.2">
      <c r="A26" s="135" t="s">
        <v>162</v>
      </c>
      <c r="B26" s="44" t="str">
        <f>IF(LEN(VLOOKUP(A26,'Species List'!$A:$G,2,FALSE))=0,"",VLOOKUP(A26,'Species List'!$A:$G,2,FALSE))</f>
        <v>box elder</v>
      </c>
      <c r="C26" s="44">
        <f>IF(LEN(VLOOKUP(A26,'Species List'!$A:$G,3,FALSE))=0,"",VLOOKUP(A26,'Species List'!$A:$G,3,FALSE))</f>
        <v>1</v>
      </c>
      <c r="D26" s="98">
        <f t="shared" si="4"/>
        <v>1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35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1.1472275334608031E-2</v>
      </c>
      <c r="O26" s="97">
        <f t="shared" si="6"/>
        <v>1.1472275334608031E-2</v>
      </c>
    </row>
    <row r="27" spans="1:15" x14ac:dyDescent="0.2">
      <c r="A27" s="135" t="s">
        <v>4855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5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85">
        <f t="shared" si="2"/>
        <v>1.1472275334608031E-2</v>
      </c>
      <c r="O27" s="97">
        <f t="shared" si="6"/>
        <v>3.4416826003824091E-2</v>
      </c>
    </row>
    <row r="28" spans="1:15" x14ac:dyDescent="0.2">
      <c r="A28" s="135" t="s">
        <v>3710</v>
      </c>
      <c r="B28" s="44" t="str">
        <f>IF(LEN(VLOOKUP(A28,'Species List'!$A:$G,2,FALSE))=0,"",VLOOKUP(A28,'Species List'!$A:$G,2,FALSE))</f>
        <v>common buckthorn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35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85">
        <f t="shared" si="2"/>
        <v>1.1472275334608031E-2</v>
      </c>
      <c r="O28" s="97">
        <f t="shared" si="6"/>
        <v>0</v>
      </c>
    </row>
    <row r="29" spans="1:15" x14ac:dyDescent="0.2">
      <c r="A29" s="135" t="s">
        <v>2113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0</v>
      </c>
      <c r="D29" s="98">
        <f t="shared" si="4"/>
        <v>0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>[FAC+]</v>
      </c>
      <c r="H29" s="44">
        <f>VLOOKUP(A29,'Species List'!$A:$G,7,FALSE)</f>
        <v>0</v>
      </c>
      <c r="J29" s="135">
        <v>3</v>
      </c>
      <c r="K29" s="47" t="str">
        <f>VLOOKUP(J29,'Species List'!$H$1:$J$9,2,FALSE)</f>
        <v>&gt;25-50%</v>
      </c>
      <c r="L29" s="47">
        <f>VLOOKUP(K29,'Species List'!$I$1:$N$8,2,FALSE)</f>
        <v>37.5</v>
      </c>
      <c r="M29" s="99">
        <f t="shared" si="5"/>
        <v>37.5</v>
      </c>
      <c r="N29" s="85">
        <f t="shared" si="2"/>
        <v>0.14340344168260039</v>
      </c>
      <c r="O29" s="97">
        <f t="shared" si="6"/>
        <v>0</v>
      </c>
    </row>
    <row r="30" spans="1:15" x14ac:dyDescent="0.2">
      <c r="A30" s="135"/>
      <c r="B30" s="44"/>
      <c r="C30" s="44"/>
      <c r="D30" s="98"/>
      <c r="E30" s="44"/>
      <c r="F30" s="44"/>
      <c r="G30" s="44"/>
      <c r="H30" s="44"/>
      <c r="J30" s="135"/>
      <c r="K30" s="47"/>
      <c r="L30" s="47"/>
      <c r="M30" s="99"/>
      <c r="O30" s="97"/>
    </row>
    <row r="31" spans="1:15" x14ac:dyDescent="0.2">
      <c r="A31" s="135" t="s">
        <v>5456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5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85">
        <f t="shared" si="2"/>
        <v>5.736137667304015E-2</v>
      </c>
      <c r="O31" s="97">
        <f t="shared" si="6"/>
        <v>0</v>
      </c>
    </row>
    <row r="32" spans="1:15" x14ac:dyDescent="0.2">
      <c r="A32" s="135" t="s">
        <v>3808</v>
      </c>
      <c r="B32" s="44" t="str">
        <f>IF(LEN(VLOOKUP(A32,'Species List'!$A:$G,2,FALSE))=0,"",VLOOKUP(A32,'Species List'!$A:$G,2,FALSE))</f>
        <v>black raspberry</v>
      </c>
      <c r="C32" s="44">
        <f>IF(LEN(VLOOKUP(A32,'Species List'!$A:$G,3,FALSE))=0,"",VLOOKUP(A32,'Species List'!$A:$G,3,FALSE))</f>
        <v>2</v>
      </c>
      <c r="D32" s="98">
        <f t="shared" si="4"/>
        <v>2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5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85">
        <f t="shared" si="2"/>
        <v>1.1472275334608031E-2</v>
      </c>
      <c r="O32" s="97">
        <f t="shared" si="6"/>
        <v>2.2944550669216062E-2</v>
      </c>
    </row>
    <row r="33" spans="1:15" x14ac:dyDescent="0.2">
      <c r="A33" s="135" t="s">
        <v>1443</v>
      </c>
      <c r="B33" s="44" t="str">
        <f>IF(LEN(VLOOKUP(A33,'Species List'!$A:$G,2,FALSE))=0,"",VLOOKUP(A33,'Species List'!$A:$G,2,FALSE))</f>
        <v>gray dogwood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[FACW-]</v>
      </c>
      <c r="H33" s="44">
        <f>VLOOKUP(A33,'Species List'!$A:$G,7,FALSE)</f>
        <v>0</v>
      </c>
      <c r="J33" s="135">
        <v>2</v>
      </c>
      <c r="K33" s="47" t="str">
        <f>VLOOKUP(J33,'Species List'!$H$1:$J$9,2,FALSE)</f>
        <v>&gt;5-25%</v>
      </c>
      <c r="L33" s="47">
        <f>VLOOKUP(K33,'Species List'!$I$1:$N$8,2,FALSE)</f>
        <v>15</v>
      </c>
      <c r="M33" s="99">
        <f t="shared" si="5"/>
        <v>15</v>
      </c>
      <c r="N33" s="85">
        <f t="shared" si="2"/>
        <v>5.736137667304015E-2</v>
      </c>
      <c r="O33" s="97">
        <f t="shared" si="6"/>
        <v>0.1147227533460803</v>
      </c>
    </row>
    <row r="34" spans="1:15" x14ac:dyDescent="0.2">
      <c r="A34" s="135" t="s">
        <v>4882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2</v>
      </c>
      <c r="D34" s="98">
        <f t="shared" si="4"/>
        <v>2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35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85">
        <f t="shared" si="2"/>
        <v>1.1472275334608031E-2</v>
      </c>
      <c r="O34" s="97">
        <f t="shared" si="6"/>
        <v>2.2944550669216062E-2</v>
      </c>
    </row>
    <row r="35" spans="1:15" x14ac:dyDescent="0.2">
      <c r="A35" s="135"/>
      <c r="B35" s="44"/>
      <c r="C35" s="44"/>
      <c r="D35" s="98"/>
      <c r="E35" s="44"/>
      <c r="F35" s="44"/>
      <c r="G35" s="44"/>
      <c r="H35" s="44"/>
      <c r="J35" s="135"/>
      <c r="K35" s="47"/>
      <c r="L35" s="47"/>
      <c r="M35" s="99"/>
      <c r="O35" s="97"/>
    </row>
    <row r="36" spans="1:15" x14ac:dyDescent="0.2">
      <c r="A36" s="135" t="s">
        <v>1459</v>
      </c>
      <c r="B36" s="44" t="str">
        <f>IF(LEN(VLOOKUP(A36,'Species List'!$A:$G,2,FALSE))=0,"",VLOOKUP(A36,'Species List'!$A:$G,2,FALSE))</f>
        <v>American hazelnut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FACU-</v>
      </c>
      <c r="H36" s="44">
        <f>VLOOKUP(A36,'Species List'!$A:$G,7,FALSE)</f>
        <v>0</v>
      </c>
      <c r="J36" s="135">
        <v>2</v>
      </c>
      <c r="K36" s="47" t="str">
        <f>VLOOKUP(J36,'Species List'!$H$1:$J$9,2,FALSE)</f>
        <v>&gt;5-25%</v>
      </c>
      <c r="L36" s="47">
        <f>VLOOKUP(K36,'Species List'!$I$1:$N$8,2,FALSE)</f>
        <v>15</v>
      </c>
      <c r="M36" s="99">
        <f t="shared" si="5"/>
        <v>15</v>
      </c>
      <c r="N36" s="85">
        <f t="shared" si="2"/>
        <v>5.736137667304015E-2</v>
      </c>
      <c r="O36" s="97">
        <f t="shared" si="6"/>
        <v>0.17208413001912046</v>
      </c>
    </row>
    <row r="37" spans="1:15" x14ac:dyDescent="0.2">
      <c r="A37" s="135" t="s">
        <v>4854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3</v>
      </c>
      <c r="D37" s="98">
        <f t="shared" si="4"/>
        <v>3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5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85">
        <f t="shared" si="2"/>
        <v>1.1472275334608031E-2</v>
      </c>
      <c r="O37" s="97">
        <f t="shared" si="6"/>
        <v>3.4416826003824091E-2</v>
      </c>
    </row>
    <row r="38" spans="1:15" x14ac:dyDescent="0.2">
      <c r="A38" s="135"/>
      <c r="B38" s="44"/>
      <c r="C38" s="44"/>
      <c r="D38" s="98"/>
      <c r="E38" s="44"/>
      <c r="F38" s="44"/>
      <c r="G38" s="44"/>
      <c r="H38" s="44"/>
      <c r="J38" s="135"/>
      <c r="K38" s="47"/>
      <c r="L38" s="47"/>
      <c r="M38" s="99"/>
      <c r="O38" s="97"/>
    </row>
    <row r="39" spans="1:15" x14ac:dyDescent="0.2">
      <c r="A39" s="135" t="s">
        <v>4646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D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35" t="s">
        <v>4824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85">
        <f t="shared" si="2"/>
        <v>1.9120458891013384E-3</v>
      </c>
      <c r="O39" s="97">
        <f t="shared" si="6"/>
        <v>0</v>
      </c>
    </row>
    <row r="40" spans="1:15" x14ac:dyDescent="0.2">
      <c r="A40" s="135" t="s">
        <v>3598</v>
      </c>
      <c r="B40" s="44" t="str">
        <f>IF(LEN(VLOOKUP(A40,'Species List'!$A:$G,2,FALSE))=0,"",VLOOKUP(A40,'Species List'!$A:$G,2,FALSE))</f>
        <v>wild plum</v>
      </c>
      <c r="C40" s="44">
        <f>IF(LEN(VLOOKUP(A40,'Species List'!$A:$G,3,FALSE))=0,"",VLOOKUP(A40,'Species List'!$A:$G,3,FALSE))</f>
        <v>3</v>
      </c>
      <c r="D40" s="98">
        <f t="shared" si="4"/>
        <v>3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UPL</v>
      </c>
      <c r="H40" s="44">
        <f>VLOOKUP(A40,'Species List'!$A:$G,7,FALSE)</f>
        <v>0</v>
      </c>
      <c r="J40" s="135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85">
        <f t="shared" si="2"/>
        <v>1.1472275334608031E-2</v>
      </c>
      <c r="O40" s="97">
        <f t="shared" si="6"/>
        <v>3.4416826003824091E-2</v>
      </c>
    </row>
    <row r="41" spans="1:15" x14ac:dyDescent="0.2">
      <c r="A41" s="135" t="s">
        <v>2119</v>
      </c>
      <c r="B41" s="44" t="str">
        <f>IF(LEN(VLOOKUP(A41,'Species List'!$A:$G,2,FALSE))=0,"",VLOOKUP(A41,'Species List'!$A:$G,2,FALSE))</f>
        <v>green ash</v>
      </c>
      <c r="C41" s="44">
        <f>IF(LEN(VLOOKUP(A41,'Species List'!$A:$G,3,FALSE))=0,"",VLOOKUP(A41,'Species List'!$A:$G,3,FALSE))</f>
        <v>2</v>
      </c>
      <c r="D41" s="98">
        <f t="shared" si="4"/>
        <v>2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FACW</v>
      </c>
      <c r="H41" s="44">
        <f>VLOOKUP(A41,'Species List'!$A:$G,7,FALSE)</f>
        <v>0</v>
      </c>
      <c r="J41" s="135" t="s">
        <v>4822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85">
        <f t="shared" si="2"/>
        <v>1.1472275334608031E-2</v>
      </c>
      <c r="O41" s="97">
        <f t="shared" si="6"/>
        <v>2.2944550669216062E-2</v>
      </c>
    </row>
    <row r="42" spans="1:15" x14ac:dyDescent="0.2">
      <c r="A42" s="135" t="s">
        <v>4757</v>
      </c>
      <c r="B42" s="44" t="str">
        <f>IF(LEN(VLOOKUP(A42,'Species List'!$A:$G,2,FALSE))=0,"",VLOOKUP(A42,'Species List'!$A:$G,2,FALSE))</f>
        <v>prickly ash</v>
      </c>
      <c r="C42" s="44">
        <f>IF(LEN(VLOOKUP(A42,'Species List'!$A:$G,3,FALSE))=0,"",VLOOKUP(A42,'Species List'!$A:$G,3,FALSE))</f>
        <v>3</v>
      </c>
      <c r="D42" s="98">
        <f t="shared" si="4"/>
        <v>3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35" t="s">
        <v>4822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85">
        <f t="shared" si="2"/>
        <v>1.1472275334608031E-2</v>
      </c>
      <c r="O42" s="97">
        <f t="shared" si="6"/>
        <v>3.4416826003824091E-2</v>
      </c>
    </row>
    <row r="43" spans="1:15" x14ac:dyDescent="0.2">
      <c r="A43" s="135" t="s">
        <v>4644</v>
      </c>
      <c r="B43" s="44" t="str">
        <f>IF(LEN(VLOOKUP(A43,'Species List'!$A:$G,2,FALSE))=0,"",VLOOKUP(A43,'Species List'!$A:$G,2,FALSE))</f>
        <v>nannyberry</v>
      </c>
      <c r="C43" s="44">
        <f>IF(LEN(VLOOKUP(A43,'Species List'!$A:$G,3,FALSE))=0,"",VLOOKUP(A43,'Species List'!$A:$G,3,FALSE))</f>
        <v>4</v>
      </c>
      <c r="D43" s="98">
        <f t="shared" si="4"/>
        <v>4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FAC+</v>
      </c>
      <c r="H43" s="44">
        <f>VLOOKUP(A43,'Species List'!$A:$G,7,FALSE)</f>
        <v>0</v>
      </c>
      <c r="J43" s="135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85">
        <f t="shared" si="2"/>
        <v>1.1472275334608031E-2</v>
      </c>
      <c r="O43" s="97">
        <f t="shared" si="6"/>
        <v>4.5889101338432124E-2</v>
      </c>
    </row>
    <row r="44" spans="1:15" x14ac:dyDescent="0.2">
      <c r="A44" s="135"/>
      <c r="B44" s="44"/>
      <c r="C44" s="44"/>
      <c r="D44" s="98"/>
      <c r="E44" s="44"/>
      <c r="F44" s="44"/>
      <c r="G44" s="44"/>
      <c r="H44" s="44"/>
      <c r="J44" s="135"/>
      <c r="K44" s="47"/>
      <c r="L44" s="47"/>
      <c r="M44" s="99"/>
      <c r="O44" s="97"/>
    </row>
    <row r="45" spans="1:15" x14ac:dyDescent="0.2">
      <c r="A45" s="135" t="s">
        <v>3611</v>
      </c>
      <c r="B45" s="44" t="str">
        <f>IF(LEN(VLOOKUP(A45,'Species List'!$A:$G,2,FALSE))=0,"",VLOOKUP(A45,'Species List'!$A:$G,2,FALSE))</f>
        <v>chokecherry</v>
      </c>
      <c r="C45" s="44">
        <f>IF(LEN(VLOOKUP(A45,'Species List'!$A:$G,3,FALSE))=0,"",VLOOKUP(A45,'Species List'!$A:$G,3,FALSE))</f>
        <v>3</v>
      </c>
      <c r="D45" s="98">
        <f t="shared" si="4"/>
        <v>3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[FAC-]</v>
      </c>
      <c r="H45" s="44">
        <f>VLOOKUP(A45,'Species List'!$A:$G,7,FALSE)</f>
        <v>0</v>
      </c>
      <c r="J45" s="135" t="s">
        <v>4822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85">
        <f t="shared" si="2"/>
        <v>1.1472275334608031E-2</v>
      </c>
      <c r="O45" s="97">
        <f t="shared" si="6"/>
        <v>3.4416826003824091E-2</v>
      </c>
    </row>
    <row r="46" spans="1:15" x14ac:dyDescent="0.2">
      <c r="A46" s="135" t="s">
        <v>159</v>
      </c>
      <c r="B46" s="44" t="str">
        <f>IF(LEN(VLOOKUP(A46,'Species List'!$A:$G,2,FALSE))=0,"",VLOOKUP(A46,'Species List'!$A:$G,2,FALSE))</f>
        <v>amur maple</v>
      </c>
      <c r="C46" s="44">
        <f>IF(LEN(VLOOKUP(A46,'Species List'!$A:$G,3,FALSE))=0,"",VLOOKUP(A46,'Species List'!$A:$G,3,FALSE))</f>
        <v>0</v>
      </c>
      <c r="D46" s="98">
        <f t="shared" si="4"/>
        <v>0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Introduced</v>
      </c>
      <c r="G46" s="44" t="str">
        <f>IF(LEN(VLOOKUP(A46,'Species List'!$A:$G,6,FALSE))=0,"",VLOOKUP(A46,'Species List'!$A:$G,6,FALSE))</f>
        <v/>
      </c>
      <c r="H46" s="44">
        <f>VLOOKUP(A46,'Species List'!$A:$G,7,FALSE)</f>
        <v>0</v>
      </c>
      <c r="J46" s="135" t="s">
        <v>4824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85">
        <f t="shared" si="2"/>
        <v>1.9120458891013384E-3</v>
      </c>
      <c r="O46" s="97">
        <f t="shared" si="6"/>
        <v>0</v>
      </c>
    </row>
    <row r="47" spans="1:15" x14ac:dyDescent="0.2">
      <c r="A47" s="135"/>
      <c r="B47" s="44"/>
      <c r="C47" s="44"/>
      <c r="D47" s="98"/>
      <c r="E47" s="44"/>
      <c r="F47" s="44"/>
      <c r="G47" s="44"/>
      <c r="H47" s="44"/>
      <c r="J47" s="135"/>
      <c r="K47" s="47"/>
      <c r="L47" s="47"/>
      <c r="M47" s="99"/>
      <c r="O47" s="97"/>
    </row>
    <row r="48" spans="1:15" x14ac:dyDescent="0.2">
      <c r="A48" s="135"/>
      <c r="B48" s="44"/>
      <c r="C48" s="44"/>
      <c r="D48" s="98"/>
      <c r="E48" s="44"/>
      <c r="F48" s="44"/>
      <c r="G48" s="44"/>
      <c r="H48" s="44"/>
      <c r="J48" s="135"/>
      <c r="K48" s="47"/>
      <c r="L48" s="47"/>
      <c r="M48" s="99"/>
      <c r="O48" s="97"/>
    </row>
    <row r="49" spans="1:15" x14ac:dyDescent="0.2">
      <c r="A49" s="135" t="s">
        <v>3609</v>
      </c>
      <c r="B49" s="44" t="str">
        <f>IF(LEN(VLOOKUP(A49,'Species List'!$A:$G,2,FALSE))=0,"",VLOOKUP(A49,'Species List'!$A:$G,2,FALSE))</f>
        <v>black cherry</v>
      </c>
      <c r="C49" s="44">
        <f>IF(LEN(VLOOKUP(A49,'Species List'!$A:$G,3,FALSE))=0,"",VLOOKUP(A49,'Species List'!$A:$G,3,FALSE))</f>
        <v>4</v>
      </c>
      <c r="D49" s="98">
        <f t="shared" si="4"/>
        <v>4</v>
      </c>
      <c r="E49" s="44" t="str">
        <f>IF(LEN(VLOOKUP(A49,'Species List'!$A:$G,4,FALSE))=0,"",VLOOKUP(A49,'Species List'!$A:$G,4,FALSE))</f>
        <v>D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[FACU]</v>
      </c>
      <c r="H49" s="44">
        <f>VLOOKUP(A49,'Species List'!$A:$G,7,FALSE)</f>
        <v>0</v>
      </c>
      <c r="J49" s="135">
        <v>2</v>
      </c>
      <c r="K49" s="47" t="str">
        <f>VLOOKUP(J49,'Species List'!$H$1:$J$9,2,FALSE)</f>
        <v>&gt;5-25%</v>
      </c>
      <c r="L49" s="47">
        <f>VLOOKUP(K49,'Species List'!$I$1:$N$8,2,FALSE)</f>
        <v>15</v>
      </c>
      <c r="M49" s="99">
        <f t="shared" si="5"/>
        <v>15</v>
      </c>
      <c r="N49" s="85">
        <f t="shared" si="2"/>
        <v>5.736137667304015E-2</v>
      </c>
      <c r="O49" s="97">
        <f t="shared" si="6"/>
        <v>0.2294455066921606</v>
      </c>
    </row>
    <row r="50" spans="1:15" x14ac:dyDescent="0.2">
      <c r="A50" s="135"/>
      <c r="B50" s="44"/>
      <c r="C50" s="44"/>
      <c r="D50" s="98"/>
      <c r="E50" s="44"/>
      <c r="F50" s="44"/>
      <c r="G50" s="44"/>
      <c r="H50" s="44"/>
      <c r="J50" s="135"/>
      <c r="K50" s="47"/>
      <c r="L50" s="47"/>
      <c r="M50" s="99"/>
      <c r="O50" s="97"/>
    </row>
    <row r="51" spans="1:15" x14ac:dyDescent="0.2">
      <c r="A51" s="135" t="s">
        <v>4888</v>
      </c>
      <c r="B51" s="44" t="str">
        <f>IF(LEN(VLOOKUP(A51,'Species List'!$A:$G,2,FALSE))=0,"",VLOOKUP(A51,'Species List'!$A:$G,2,FALSE))</f>
        <v/>
      </c>
      <c r="C51" s="44">
        <f>IF(LEN(VLOOKUP(A51,'Species List'!$A:$G,3,FALSE))=0,"",VLOOKUP(A51,'Species List'!$A:$G,3,FALSE))</f>
        <v>0</v>
      </c>
      <c r="D51" s="98">
        <f t="shared" si="4"/>
        <v>0</v>
      </c>
      <c r="E51" s="44" t="str">
        <f>IF(LEN(VLOOKUP(A51,'Species List'!$A:$G,4,FALSE))=0,"",VLOOKUP(A51,'Species List'!$A:$G,4,FALSE))</f>
        <v>D</v>
      </c>
      <c r="F51" s="44" t="str">
        <f>IF(LEN(VLOOKUP(A51,'Species List'!$A:$G,5,FALSE))=0,"",VLOOKUP(A51,'Species List'!$A:$G,5,FALSE))</f>
        <v>Introduced</v>
      </c>
      <c r="G51" s="44" t="str">
        <f>IF(LEN(VLOOKUP(A51,'Species List'!$A:$G,6,FALSE))=0,"",VLOOKUP(A51,'Species List'!$A:$G,6,FALSE))</f>
        <v/>
      </c>
      <c r="H51" s="44">
        <f>VLOOKUP(A51,'Species List'!$A:$G,7,FALSE)</f>
        <v>0</v>
      </c>
      <c r="J51" s="135">
        <v>2</v>
      </c>
      <c r="K51" s="47" t="str">
        <f>VLOOKUP(J51,'Species List'!$H$1:$J$9,2,FALSE)</f>
        <v>&gt;5-25%</v>
      </c>
      <c r="L51" s="47">
        <f>VLOOKUP(K51,'Species List'!$I$1:$N$8,2,FALSE)</f>
        <v>15</v>
      </c>
      <c r="M51" s="99">
        <f t="shared" si="5"/>
        <v>15</v>
      </c>
      <c r="N51" s="85">
        <f t="shared" si="2"/>
        <v>5.736137667304015E-2</v>
      </c>
      <c r="O51" s="97">
        <f t="shared" si="6"/>
        <v>0</v>
      </c>
    </row>
    <row r="52" spans="1:15" x14ac:dyDescent="0.2">
      <c r="A52" s="135" t="s">
        <v>3644</v>
      </c>
      <c r="B52" s="44" t="str">
        <f>IF(LEN(VLOOKUP(A52,'Species List'!$A:$G,2,FALSE))=0,"",VLOOKUP(A52,'Species List'!$A:$G,2,FALSE))</f>
        <v>northern pin oak</v>
      </c>
      <c r="C52" s="44">
        <f>IF(LEN(VLOOKUP(A52,'Species List'!$A:$G,3,FALSE))=0,"",VLOOKUP(A52,'Species List'!$A:$G,3,FALSE))</f>
        <v>5</v>
      </c>
      <c r="D52" s="98">
        <f t="shared" si="4"/>
        <v>5</v>
      </c>
      <c r="E52" s="44" t="str">
        <f>IF(LEN(VLOOKUP(A52,'Species List'!$A:$G,4,FALSE))=0,"",VLOOKUP(A52,'Species List'!$A:$G,4,FALSE))</f>
        <v>D</v>
      </c>
      <c r="F52" s="44" t="str">
        <f>IF(LEN(VLOOKUP(A52,'Species List'!$A:$G,5,FALSE))=0,"",VLOOKUP(A52,'Species List'!$A:$G,5,FALSE))</f>
        <v>Native</v>
      </c>
      <c r="G52" s="44" t="str">
        <f>IF(LEN(VLOOKUP(A52,'Species List'!$A:$G,6,FALSE))=0,"",VLOOKUP(A52,'Species List'!$A:$G,6,FALSE))</f>
        <v/>
      </c>
      <c r="H52" s="44">
        <f>VLOOKUP(A52,'Species List'!$A:$G,7,FALSE)</f>
        <v>0</v>
      </c>
      <c r="J52" s="135">
        <v>3</v>
      </c>
      <c r="K52" s="47" t="str">
        <f>VLOOKUP(J52,'Species List'!$H$1:$J$9,2,FALSE)</f>
        <v>&gt;25-50%</v>
      </c>
      <c r="L52" s="47">
        <f>VLOOKUP(K52,'Species List'!$I$1:$N$8,2,FALSE)</f>
        <v>37.5</v>
      </c>
      <c r="M52" s="99">
        <f t="shared" si="5"/>
        <v>37.5</v>
      </c>
      <c r="N52" s="85">
        <f t="shared" si="2"/>
        <v>0.14340344168260039</v>
      </c>
      <c r="O52" s="97">
        <f t="shared" si="6"/>
        <v>0.71701720841300198</v>
      </c>
    </row>
    <row r="53" spans="1:15" x14ac:dyDescent="0.2">
      <c r="A53" s="135" t="s">
        <v>4541</v>
      </c>
      <c r="B53" s="44" t="str">
        <f>IF(LEN(VLOOKUP(A53,'Species List'!$A:$G,2,FALSE))=0,"",VLOOKUP(A53,'Species List'!$A:$G,2,FALSE))</f>
        <v>American elm</v>
      </c>
      <c r="C53" s="44">
        <f>IF(LEN(VLOOKUP(A53,'Species List'!$A:$G,3,FALSE))=0,"",VLOOKUP(A53,'Species List'!$A:$G,3,FALSE))</f>
        <v>3</v>
      </c>
      <c r="D53" s="98">
        <f t="shared" si="4"/>
        <v>3</v>
      </c>
      <c r="E53" s="44" t="str">
        <f>IF(LEN(VLOOKUP(A53,'Species List'!$A:$G,4,FALSE))=0,"",VLOOKUP(A53,'Species List'!$A:$G,4,FALSE))</f>
        <v>D</v>
      </c>
      <c r="F53" s="44" t="str">
        <f>IF(LEN(VLOOKUP(A53,'Species List'!$A:$G,5,FALSE))=0,"",VLOOKUP(A53,'Species List'!$A:$G,5,FALSE))</f>
        <v>Native</v>
      </c>
      <c r="G53" s="44" t="str">
        <f>IF(LEN(VLOOKUP(A53,'Species List'!$A:$G,6,FALSE))=0,"",VLOOKUP(A53,'Species List'!$A:$G,6,FALSE))</f>
        <v>FACW-</v>
      </c>
      <c r="H53" s="44">
        <f>VLOOKUP(A53,'Species List'!$A:$G,7,FALSE)</f>
        <v>0</v>
      </c>
      <c r="J53" s="135">
        <v>3</v>
      </c>
      <c r="K53" s="47" t="str">
        <f>VLOOKUP(J53,'Species List'!$H$1:$J$9,2,FALSE)</f>
        <v>&gt;25-50%</v>
      </c>
      <c r="L53" s="47">
        <f>VLOOKUP(K53,'Species List'!$I$1:$N$8,2,FALSE)</f>
        <v>37.5</v>
      </c>
      <c r="M53" s="99">
        <f t="shared" si="5"/>
        <v>37.5</v>
      </c>
      <c r="N53" s="85">
        <f t="shared" si="2"/>
        <v>0.14340344168260039</v>
      </c>
      <c r="O53" s="97">
        <f t="shared" si="6"/>
        <v>0.43021032504780116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8" t="s">
        <v>4791</v>
      </c>
      <c r="J151" s="159"/>
      <c r="K151" s="160"/>
      <c r="L151" s="63">
        <f>SUMIF(L10:L150,"&gt;=0")</f>
        <v>261.5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7CBF0A89-B723-4704-BC32-B832B913DB0A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C43" sqref="C43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7"/>
      <c r="C7" s="157"/>
      <c r="D7" s="157"/>
      <c r="E7" s="15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4159</v>
      </c>
      <c r="B10" s="44" t="str">
        <f>IF(LEN(VLOOKUP(A10,'Species List'!$A:$G,2,FALSE))=0,"",VLOOKUP(A10,'Species List'!$A:$G,2,FALSE))</f>
        <v>late goldenrod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5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1.7751479289940829E-2</v>
      </c>
      <c r="O10" s="105">
        <f t="shared" ref="O10:O11" si="3">D10*N10</f>
        <v>1.7751479289940829E-2</v>
      </c>
    </row>
    <row r="11" spans="1:15" x14ac:dyDescent="0.2">
      <c r="A11" s="135" t="s">
        <v>528</v>
      </c>
      <c r="B11" s="44" t="str">
        <f>IF(LEN(VLOOKUP(A11,'Species List'!$A:$G,2,FALSE))=0,"",VLOOKUP(A11,'Species List'!$A:$G,2,FALSE))</f>
        <v>poke milkweed</v>
      </c>
      <c r="C11" s="44">
        <f>IF(LEN(VLOOKUP(A11,'Species List'!$A:$G,3,FALSE))=0,"",VLOOKUP(A11,'Species List'!$A:$G,3,FALSE))</f>
        <v>7</v>
      </c>
      <c r="D11" s="98">
        <f t="shared" si="0"/>
        <v>7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UPL</v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1.7751479289940829E-2</v>
      </c>
      <c r="O11" s="105">
        <f t="shared" si="3"/>
        <v>0.1242603550295858</v>
      </c>
    </row>
    <row r="12" spans="1:15" x14ac:dyDescent="0.2">
      <c r="A12" s="135" t="s">
        <v>4192</v>
      </c>
      <c r="B12" s="44" t="str">
        <f>IF(LEN(VLOOKUP(A12,'Species List'!$A:$G,2,FALSE))=0,"",VLOOKUP(A12,'Species List'!$A:$G,2,FALSE))</f>
        <v>showy goldenrod</v>
      </c>
      <c r="C12" s="44">
        <f>IF(LEN(VLOOKUP(A12,'Species List'!$A:$G,3,FALSE))=0,"",VLOOKUP(A12,'Species List'!$A:$G,3,FALSE))</f>
        <v>5</v>
      </c>
      <c r="D12" s="98">
        <f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1.7751479289940829E-2</v>
      </c>
      <c r="O12" s="85">
        <f>D12*N12</f>
        <v>8.8757396449704151E-2</v>
      </c>
    </row>
    <row r="13" spans="1:15" x14ac:dyDescent="0.2">
      <c r="A13" s="135" t="s">
        <v>431</v>
      </c>
      <c r="B13" s="44" t="str">
        <f>IF(LEN(VLOOKUP(A13,'Species List'!$A:$G,2,FALSE))=0,"",VLOOKUP(A13,'Species List'!$A:$G,2,FALSE))</f>
        <v>spreading dogbane</v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UPL</v>
      </c>
      <c r="H13" s="44">
        <f>VLOOKUP(A13,'Species List'!$A:$G,7,FALSE)</f>
        <v>0</v>
      </c>
      <c r="J13" s="13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8.8757396449704137E-2</v>
      </c>
      <c r="O13" s="97">
        <f t="shared" ref="O13:O75" si="6">D13*N13</f>
        <v>0.17751479289940827</v>
      </c>
    </row>
    <row r="14" spans="1:15" x14ac:dyDescent="0.2">
      <c r="A14" s="135" t="s">
        <v>234</v>
      </c>
      <c r="B14" s="44" t="str">
        <f>IF(LEN(VLOOKUP(A14,'Species List'!$A:$G,2,FALSE))=0,"",VLOOKUP(A14,'Species List'!$A:$G,2,FALSE))</f>
        <v>white snakeroot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1.7751479289940829E-2</v>
      </c>
      <c r="O14" s="97">
        <f t="shared" si="6"/>
        <v>1.7751479289940829E-2</v>
      </c>
    </row>
    <row r="15" spans="1:15" x14ac:dyDescent="0.2">
      <c r="A15" s="135" t="s">
        <v>4168</v>
      </c>
      <c r="B15" s="44" t="str">
        <f>IF(LEN(VLOOKUP(A15,'Species List'!$A:$G,2,FALSE))=0,"",VLOOKUP(A15,'Species List'!$A:$G,2,FALSE))</f>
        <v>giant goldenrod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3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97">
        <f t="shared" si="2"/>
        <v>8.8757396449704137E-2</v>
      </c>
      <c r="O15" s="97">
        <f t="shared" si="6"/>
        <v>0.2662721893491124</v>
      </c>
    </row>
    <row r="16" spans="1:15" x14ac:dyDescent="0.2">
      <c r="A16" s="135" t="s">
        <v>1349</v>
      </c>
      <c r="B16" s="44" t="str">
        <f>IF(LEN(VLOOKUP(A16,'Species List'!$A:$G,2,FALSE))=0,"",VLOOKUP(A16,'Species List'!$A:$G,2,FALSE))</f>
        <v>common enchanter's nightshade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13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1.7751479289940829E-2</v>
      </c>
      <c r="O16" s="97">
        <f t="shared" si="6"/>
        <v>3.5502958579881658E-2</v>
      </c>
    </row>
    <row r="17" spans="1:15" x14ac:dyDescent="0.2">
      <c r="A17" s="135" t="s">
        <v>1948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35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1.7751479289940829E-2</v>
      </c>
      <c r="O17" s="97">
        <f t="shared" si="6"/>
        <v>3.5502958579881658E-2</v>
      </c>
    </row>
    <row r="18" spans="1:15" x14ac:dyDescent="0.2">
      <c r="A18" s="135" t="s">
        <v>2161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35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1.7751479289940829E-2</v>
      </c>
      <c r="O18" s="97">
        <f t="shared" si="6"/>
        <v>7.1005917159763315E-2</v>
      </c>
    </row>
    <row r="19" spans="1:15" x14ac:dyDescent="0.2">
      <c r="A19" s="135" t="s">
        <v>468</v>
      </c>
      <c r="B19" s="44" t="str">
        <f>IF(LEN(VLOOKUP(A19,'Species List'!$A:$G,2,FALSE))=0,"",VLOOKUP(A19,'Species List'!$A:$G,2,FALSE))</f>
        <v>Jack-in-the-pulpit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FACW-</v>
      </c>
      <c r="H19" s="44">
        <f>VLOOKUP(A19,'Species List'!$A:$G,7,FALSE)</f>
        <v>0</v>
      </c>
      <c r="J19" s="135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1.7751479289940829E-2</v>
      </c>
      <c r="O19" s="97">
        <f t="shared" si="6"/>
        <v>7.1005917159763315E-2</v>
      </c>
    </row>
    <row r="20" spans="1:15" x14ac:dyDescent="0.2">
      <c r="A20" s="135" t="s">
        <v>4103</v>
      </c>
      <c r="B20" s="44" t="str">
        <f>IF(LEN(VLOOKUP(A20,'Species List'!$A:$G,2,FALSE))=0,"",VLOOKUP(A20,'Species List'!$A:$G,2,FALSE))</f>
        <v>white campion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5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1.7751479289940829E-2</v>
      </c>
      <c r="O20" s="97">
        <f t="shared" si="6"/>
        <v>0</v>
      </c>
    </row>
    <row r="21" spans="1:15" x14ac:dyDescent="0.2">
      <c r="A21" s="135" t="s">
        <v>4453</v>
      </c>
      <c r="B21" s="44" t="str">
        <f>IF(LEN(VLOOKUP(A21,'Species List'!$A:$G,2,FALSE))=0,"",VLOOKUP(A21,'Species List'!$A:$G,2,FALSE))</f>
        <v>Japanese Hedge Parsley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5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1.7751479289940829E-2</v>
      </c>
      <c r="O21" s="97">
        <f t="shared" si="6"/>
        <v>0</v>
      </c>
    </row>
    <row r="22" spans="1:15" x14ac:dyDescent="0.2">
      <c r="A22" s="135" t="s">
        <v>1358</v>
      </c>
      <c r="B22" s="44" t="str">
        <f>IF(LEN(VLOOKUP(A22,'Species List'!$A:$G,2,FALSE))=0,"",VLOOKUP(A22,'Species List'!$A:$G,2,FALSE))</f>
        <v>field thistle</v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5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1.7751479289940829E-2</v>
      </c>
      <c r="O22" s="97">
        <f t="shared" si="6"/>
        <v>7.1005917159763315E-2</v>
      </c>
    </row>
    <row r="23" spans="1:15" x14ac:dyDescent="0.2">
      <c r="A23" s="135" t="s">
        <v>4394</v>
      </c>
      <c r="B23" s="44" t="str">
        <f>IF(LEN(VLOOKUP(A23,'Species List'!$A:$G,2,FALSE))=0,"",VLOOKUP(A23,'Species List'!$A:$G,2,FALSE))</f>
        <v>tail-leaved aster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35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1.7751479289940829E-2</v>
      </c>
      <c r="O23" s="97">
        <f t="shared" si="6"/>
        <v>5.3254437869822487E-2</v>
      </c>
    </row>
    <row r="24" spans="1:15" x14ac:dyDescent="0.2">
      <c r="A24" s="135" t="s">
        <v>4368</v>
      </c>
      <c r="B24" s="44" t="str">
        <f>IF(LEN(VLOOKUP(A24,'Species List'!$A:$G,2,FALSE))=0,"",VLOOKUP(A24,'Species List'!$A:$G,2,FALSE))</f>
        <v>side-flowering aster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[FACW-]</v>
      </c>
      <c r="H24" s="44">
        <f>VLOOKUP(A24,'Species List'!$A:$G,7,FALSE)</f>
        <v>0</v>
      </c>
      <c r="J24" s="135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1.7751479289940829E-2</v>
      </c>
      <c r="O24" s="97">
        <f t="shared" si="6"/>
        <v>7.1005917159763315E-2</v>
      </c>
    </row>
    <row r="25" spans="1:15" x14ac:dyDescent="0.2">
      <c r="A25" s="135" t="s">
        <v>2811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5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1.7751479289940829E-2</v>
      </c>
      <c r="O25" s="97">
        <f t="shared" si="6"/>
        <v>8.8757396449704151E-2</v>
      </c>
    </row>
    <row r="26" spans="1:15" x14ac:dyDescent="0.2">
      <c r="A26" s="135" t="s">
        <v>4379</v>
      </c>
      <c r="B26" s="44" t="str">
        <f>IF(LEN(VLOOKUP(A26,'Species List'!$A:$G,2,FALSE))=0,"",VLOOKUP(A26,'Species List'!$A:$G,2,FALSE))</f>
        <v>awl aster</v>
      </c>
      <c r="C26" s="44">
        <f>IF(LEN(VLOOKUP(A26,'Species List'!$A:$G,3,FALSE))=0,"",VLOOKUP(A26,'Species List'!$A:$G,3,FALSE))</f>
        <v>1</v>
      </c>
      <c r="D26" s="98">
        <f t="shared" si="4"/>
        <v>1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 t="str">
        <f>VLOOKUP(A26,'Species List'!$A:$G,7,FALSE)</f>
        <v>W</v>
      </c>
      <c r="J26" s="135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1.7751479289940829E-2</v>
      </c>
      <c r="O26" s="97">
        <f t="shared" si="6"/>
        <v>1.7751479289940829E-2</v>
      </c>
    </row>
    <row r="27" spans="1:15" x14ac:dyDescent="0.2">
      <c r="A27" s="135" t="s">
        <v>1750</v>
      </c>
      <c r="B27" s="44" t="str">
        <f>IF(LEN(VLOOKUP(A27,'Species List'!$A:$G,2,FALSE))=0,"",VLOOKUP(A27,'Species List'!$A:$G,2,FALSE))</f>
        <v>spinulose shield fern</v>
      </c>
      <c r="C27" s="44">
        <f>IF(LEN(VLOOKUP(A27,'Species List'!$A:$G,3,FALSE))=0,"",VLOOKUP(A27,'Species List'!$A:$G,3,FALSE))</f>
        <v>6</v>
      </c>
      <c r="D27" s="98">
        <f t="shared" si="4"/>
        <v>6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[FACW-]</v>
      </c>
      <c r="H27" s="44">
        <f>VLOOKUP(A27,'Species List'!$A:$G,7,FALSE)</f>
        <v>0</v>
      </c>
      <c r="J27" s="135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1.7751479289940829E-2</v>
      </c>
      <c r="O27" s="97">
        <f t="shared" si="6"/>
        <v>0.10650887573964497</v>
      </c>
    </row>
    <row r="28" spans="1:15" x14ac:dyDescent="0.2">
      <c r="A28" s="135" t="s">
        <v>320</v>
      </c>
      <c r="B28" s="44" t="str">
        <f>IF(LEN(VLOOKUP(A28,'Species List'!$A:$G,2,FALSE))=0,"",VLOOKUP(A28,'Species List'!$A:$G,2,FALSE))</f>
        <v>common ragweed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35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1.7751479289940829E-2</v>
      </c>
      <c r="O28" s="97">
        <f t="shared" si="6"/>
        <v>0</v>
      </c>
    </row>
    <row r="29" spans="1:15" x14ac:dyDescent="0.2">
      <c r="A29" s="135" t="s">
        <v>357</v>
      </c>
      <c r="B29" s="44" t="str">
        <f>IF(LEN(VLOOKUP(A29,'Species List'!$A:$G,2,FALSE))=0,"",VLOOKUP(A29,'Species List'!$A:$G,2,FALSE))</f>
        <v>hog peanut</v>
      </c>
      <c r="C29" s="44">
        <f>IF(LEN(VLOOKUP(A29,'Species List'!$A:$G,3,FALSE))=0,"",VLOOKUP(A29,'Species List'!$A:$G,3,FALSE))</f>
        <v>2</v>
      </c>
      <c r="D29" s="98">
        <f t="shared" si="4"/>
        <v>2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</v>
      </c>
      <c r="H29" s="44">
        <f>VLOOKUP(A29,'Species List'!$A:$G,7,FALSE)</f>
        <v>0</v>
      </c>
      <c r="J29" s="135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5"/>
        <v>15</v>
      </c>
      <c r="N29" s="97">
        <f t="shared" si="2"/>
        <v>8.8757396449704137E-2</v>
      </c>
      <c r="O29" s="97">
        <f t="shared" si="6"/>
        <v>0.17751479289940827</v>
      </c>
    </row>
    <row r="30" spans="1:15" x14ac:dyDescent="0.2">
      <c r="A30" s="135" t="s">
        <v>4420</v>
      </c>
      <c r="B30" s="44" t="str">
        <f>IF(LEN(VLOOKUP(A30,'Species List'!$A:$G,2,FALSE))=0,"",VLOOKUP(A30,'Species List'!$A:$G,2,FALSE))</f>
        <v>germander</v>
      </c>
      <c r="C30" s="44">
        <f>IF(LEN(VLOOKUP(A30,'Species List'!$A:$G,3,FALSE))=0,"",VLOOKUP(A30,'Species List'!$A:$G,3,FALSE))</f>
        <v>4</v>
      </c>
      <c r="D30" s="98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35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1.7751479289940829E-2</v>
      </c>
      <c r="O30" s="97">
        <f t="shared" si="6"/>
        <v>7.1005917159763315E-2</v>
      </c>
    </row>
    <row r="31" spans="1:15" x14ac:dyDescent="0.2">
      <c r="A31" s="135" t="s">
        <v>3662</v>
      </c>
      <c r="B31" s="44" t="str">
        <f>IF(LEN(VLOOKUP(A31,'Species List'!$A:$G,2,FALSE))=0,"",VLOOKUP(A31,'Species List'!$A:$G,2,FALSE))</f>
        <v>kidney-leaved buttercup</v>
      </c>
      <c r="C31" s="44">
        <f>IF(LEN(VLOOKUP(A31,'Species List'!$A:$G,3,FALSE))=0,"",VLOOKUP(A31,'Species List'!$A:$G,3,FALSE))</f>
        <v>1</v>
      </c>
      <c r="D31" s="98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135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1.7751479289940829E-2</v>
      </c>
      <c r="O31" s="97">
        <f t="shared" si="6"/>
        <v>1.7751479289940829E-2</v>
      </c>
    </row>
    <row r="32" spans="1:15" x14ac:dyDescent="0.2">
      <c r="A32" s="135" t="s">
        <v>592</v>
      </c>
      <c r="B32" s="44" t="str">
        <f>IF(LEN(VLOOKUP(A32,'Species List'!$A:$G,2,FALSE))=0,"",VLOOKUP(A32,'Species List'!$A:$G,2,FALSE))</f>
        <v>lady fern</v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5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1.7751479289940829E-2</v>
      </c>
      <c r="O32" s="97">
        <f t="shared" si="6"/>
        <v>8.8757396449704151E-2</v>
      </c>
    </row>
    <row r="33" spans="1:15" x14ac:dyDescent="0.2">
      <c r="A33" s="135" t="s">
        <v>1635</v>
      </c>
      <c r="B33" s="44" t="str">
        <f>IF(LEN(VLOOKUP(A33,'Species List'!$A:$G,2,FALSE))=0,"",VLOOKUP(A33,'Species List'!$A:$G,2,FALSE))</f>
        <v>pointed-leaved tick trefoil</v>
      </c>
      <c r="C33" s="44">
        <f>IF(LEN(VLOOKUP(A33,'Species List'!$A:$G,3,FALSE))=0,"",VLOOKUP(A33,'Species List'!$A:$G,3,FALSE))</f>
        <v>6</v>
      </c>
      <c r="D33" s="98">
        <f t="shared" si="4"/>
        <v>6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5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1.7751479289940829E-2</v>
      </c>
      <c r="O33" s="97">
        <f t="shared" si="6"/>
        <v>0.10650887573964497</v>
      </c>
    </row>
    <row r="34" spans="1:15" x14ac:dyDescent="0.2">
      <c r="A34" s="135" t="s">
        <v>186</v>
      </c>
      <c r="B34" s="44" t="str">
        <f>IF(LEN(VLOOKUP(A34,'Species List'!$A:$G,2,FALSE))=0,"",VLOOKUP(A34,'Species List'!$A:$G,2,FALSE))</f>
        <v>common yarrow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5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1.7751479289940829E-2</v>
      </c>
      <c r="O34" s="97">
        <f t="shared" si="6"/>
        <v>1.7751479289940829E-2</v>
      </c>
    </row>
    <row r="35" spans="1:15" x14ac:dyDescent="0.2">
      <c r="A35" s="135" t="s">
        <v>2110</v>
      </c>
      <c r="B35" s="44" t="str">
        <f>IF(LEN(VLOOKUP(A35,'Species List'!$A:$G,2,FALSE))=0,"",VLOOKUP(A35,'Species List'!$A:$G,2,FALSE))</f>
        <v>common strawberry</v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FAC-</v>
      </c>
      <c r="H35" s="44">
        <f>VLOOKUP(A35,'Species List'!$A:$G,7,FALSE)</f>
        <v>0</v>
      </c>
      <c r="J35" s="135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1.7751479289940829E-2</v>
      </c>
      <c r="O35" s="97">
        <f t="shared" si="6"/>
        <v>3.5502958579881658E-2</v>
      </c>
    </row>
    <row r="36" spans="1:15" x14ac:dyDescent="0.2">
      <c r="A36" s="135" t="s">
        <v>1955</v>
      </c>
      <c r="B36" s="44" t="str">
        <f>IF(LEN(VLOOKUP(A36,'Species List'!$A:$G,2,FALSE))=0,"",VLOOKUP(A36,'Species List'!$A:$G,2,FALSE))</f>
        <v>annual fleabane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FAC-</v>
      </c>
      <c r="H36" s="44">
        <f>VLOOKUP(A36,'Species List'!$A:$G,7,FALSE)</f>
        <v>0</v>
      </c>
      <c r="J36" s="135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1.7751479289940829E-2</v>
      </c>
      <c r="O36" s="97">
        <f t="shared" si="6"/>
        <v>0</v>
      </c>
    </row>
    <row r="37" spans="1:15" x14ac:dyDescent="0.2">
      <c r="A37" s="135" t="s">
        <v>2810</v>
      </c>
      <c r="B37" s="44" t="str">
        <f>IF(LEN(VLOOKUP(A37,'Species List'!$A:$G,2,FALSE))=0,"",VLOOKUP(A37,'Species List'!$A:$G,2,FALSE))</f>
        <v>Canada mayflower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</v>
      </c>
      <c r="H37" s="44">
        <f>VLOOKUP(A37,'Species List'!$A:$G,7,FALSE)</f>
        <v>0</v>
      </c>
      <c r="J37" s="135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1.7751479289940829E-2</v>
      </c>
      <c r="O37" s="97">
        <f t="shared" si="6"/>
        <v>8.8757396449704151E-2</v>
      </c>
    </row>
    <row r="38" spans="1:15" x14ac:dyDescent="0.2">
      <c r="A38" s="135" t="s">
        <v>4596</v>
      </c>
      <c r="B38" s="44" t="str">
        <f>IF(LEN(VLOOKUP(A38,'Species List'!$A:$G,2,FALSE))=0,"",VLOOKUP(A38,'Species List'!$A:$G,2,FALSE))</f>
        <v>common mullein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>UPL</v>
      </c>
      <c r="H38" s="44">
        <f>VLOOKUP(A38,'Species List'!$A:$G,7,FALSE)</f>
        <v>0</v>
      </c>
      <c r="J38" s="135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1.7751479289940829E-2</v>
      </c>
      <c r="O38" s="97">
        <f t="shared" si="6"/>
        <v>0</v>
      </c>
    </row>
    <row r="39" spans="1:15" x14ac:dyDescent="0.2">
      <c r="A39" s="135" t="s">
        <v>1969</v>
      </c>
      <c r="B39" s="44" t="str">
        <f>IF(LEN(VLOOKUP(A39,'Species List'!$A:$G,2,FALSE))=0,"",VLOOKUP(A39,'Species List'!$A:$G,2,FALSE))</f>
        <v>daisy fleabane</v>
      </c>
      <c r="C39" s="44">
        <f>IF(LEN(VLOOKUP(A39,'Species List'!$A:$G,3,FALSE))=0,"",VLOOKUP(A39,'Species List'!$A:$G,3,FALSE))</f>
        <v>2</v>
      </c>
      <c r="D39" s="98">
        <f t="shared" si="4"/>
        <v>2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FAC-</v>
      </c>
      <c r="H39" s="44">
        <f>VLOOKUP(A39,'Species List'!$A:$G,7,FALSE)</f>
        <v>0</v>
      </c>
      <c r="J39" s="135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1.7751479289940829E-2</v>
      </c>
      <c r="O39" s="97">
        <f t="shared" si="6"/>
        <v>3.5502958579881658E-2</v>
      </c>
    </row>
    <row r="40" spans="1:15" x14ac:dyDescent="0.2">
      <c r="A40" s="135" t="s">
        <v>4871</v>
      </c>
      <c r="B40" s="44" t="str">
        <f>IF(LEN(VLOOKUP(A40,'Species List'!$A:$G,2,FALSE))=0,"",VLOOKUP(A40,'Species List'!$A:$G,2,FALSE))</f>
        <v>tall thimbleweed</v>
      </c>
      <c r="C40" s="44">
        <f>IF(LEN(VLOOKUP(A40,'Species List'!$A:$G,3,FALSE))=0,"",VLOOKUP(A40,'Species List'!$A:$G,3,FALSE))</f>
        <v>7</v>
      </c>
      <c r="D40" s="98">
        <f t="shared" si="4"/>
        <v>7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/>
      </c>
      <c r="H40" s="44">
        <f>VLOOKUP(A40,'Species List'!$A:$G,7,FALSE)</f>
        <v>0</v>
      </c>
      <c r="J40" s="135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1.7751479289940829E-2</v>
      </c>
      <c r="O40" s="97">
        <f t="shared" si="6"/>
        <v>0.1242603550295858</v>
      </c>
    </row>
    <row r="41" spans="1:15" x14ac:dyDescent="0.2">
      <c r="A41" s="135" t="s">
        <v>2544</v>
      </c>
      <c r="B41" s="44" t="str">
        <f>IF(LEN(VLOOKUP(A41,'Species List'!$A:$G,2,FALSE))=0,"",VLOOKUP(A41,'Species List'!$A:$G,2,FALSE))</f>
        <v>Canada wild lettuce</v>
      </c>
      <c r="C41" s="44">
        <f>IF(LEN(VLOOKUP(A41,'Species List'!$A:$G,3,FALSE))=0,"",VLOOKUP(A41,'Species List'!$A:$G,3,FALSE))</f>
        <v>2</v>
      </c>
      <c r="D41" s="98">
        <f t="shared" si="4"/>
        <v>2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FACU+</v>
      </c>
      <c r="H41" s="44">
        <f>VLOOKUP(A41,'Species List'!$A:$G,7,FALSE)</f>
        <v>0</v>
      </c>
      <c r="J41" s="135" t="s">
        <v>4822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1.7751479289940829E-2</v>
      </c>
      <c r="O41" s="97">
        <f t="shared" si="6"/>
        <v>3.5502958579881658E-2</v>
      </c>
    </row>
    <row r="42" spans="1:15" x14ac:dyDescent="0.2">
      <c r="A42" s="135" t="s">
        <v>5457</v>
      </c>
      <c r="B42" s="44" t="e">
        <f>IF(LEN(VLOOKUP(A42,'Species List'!$A:$G,2,FALSE))=0,"",VLOOKUP(A42,'Species List'!$A:$G,2,FALSE))</f>
        <v>#N/A</v>
      </c>
      <c r="C42" s="44">
        <v>4</v>
      </c>
      <c r="D42" s="98">
        <f t="shared" si="4"/>
        <v>4</v>
      </c>
      <c r="E42" s="44" t="s">
        <v>149</v>
      </c>
      <c r="F42" s="44" t="s">
        <v>147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135" t="s">
        <v>4822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1.7751479289940829E-2</v>
      </c>
      <c r="O42" s="97">
        <f t="shared" si="6"/>
        <v>7.1005917159763315E-2</v>
      </c>
    </row>
    <row r="43" spans="1:15" x14ac:dyDescent="0.2">
      <c r="A43" s="135" t="s">
        <v>2215</v>
      </c>
      <c r="B43" s="44" t="str">
        <f>IF(LEN(VLOOKUP(A43,'Species List'!$A:$G,2,FALSE))=0,"",VLOOKUP(A43,'Species List'!$A:$G,2,FALSE))</f>
        <v>white avens</v>
      </c>
      <c r="C43" s="44">
        <f>IF(LEN(VLOOKUP(A43,'Species List'!$A:$G,3,FALSE))=0,"",VLOOKUP(A43,'Species List'!$A:$G,3,FALSE))</f>
        <v>2</v>
      </c>
      <c r="D43" s="98">
        <f t="shared" si="4"/>
        <v>2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</v>
      </c>
      <c r="H43" s="44">
        <f>VLOOKUP(A43,'Species List'!$A:$G,7,FALSE)</f>
        <v>0</v>
      </c>
      <c r="J43" s="135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1.7751479289940829E-2</v>
      </c>
      <c r="O43" s="97">
        <f t="shared" si="6"/>
        <v>3.5502958579881658E-2</v>
      </c>
    </row>
    <row r="44" spans="1:15" x14ac:dyDescent="0.2">
      <c r="A44" s="135" t="s">
        <v>4373</v>
      </c>
      <c r="B44" s="44" t="str">
        <f>IF(LEN(VLOOKUP(A44,'Species List'!$A:$G,2,FALSE))=0,"",VLOOKUP(A44,'Species List'!$A:$G,2,FALSE))</f>
        <v/>
      </c>
      <c r="C44" s="44">
        <f>IF(LEN(VLOOKUP(A44,'Species List'!$A:$G,3,FALSE))=0,"",VLOOKUP(A44,'Species List'!$A:$G,3,FALSE))</f>
        <v>6</v>
      </c>
      <c r="D44" s="98">
        <f t="shared" si="4"/>
        <v>6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</v>
      </c>
      <c r="H44" s="44">
        <f>VLOOKUP(A44,'Species List'!$A:$G,7,FALSE)</f>
        <v>0</v>
      </c>
      <c r="J44" s="135" t="s">
        <v>4824</v>
      </c>
      <c r="K44" s="47" t="str">
        <f>VLOOKUP(J44,'Species List'!$H$1:$J$9,2,FALSE)</f>
        <v>&gt;0-1%</v>
      </c>
      <c r="L44" s="47">
        <f>VLOOKUP(K44,'Species List'!$I$1:$N$8,2,FALSE)</f>
        <v>0.5</v>
      </c>
      <c r="M44" s="99">
        <f t="shared" si="5"/>
        <v>0.5</v>
      </c>
      <c r="N44" s="97">
        <f t="shared" si="7"/>
        <v>2.9585798816568047E-3</v>
      </c>
      <c r="O44" s="97">
        <f t="shared" si="6"/>
        <v>1.7751479289940829E-2</v>
      </c>
    </row>
    <row r="45" spans="1:15" x14ac:dyDescent="0.2">
      <c r="A45" s="135" t="s">
        <v>3834</v>
      </c>
      <c r="B45" s="44" t="str">
        <f>IF(LEN(VLOOKUP(A45,'Species List'!$A:$G,2,FALSE))=0,"",VLOOKUP(A45,'Species List'!$A:$G,2,FALSE))</f>
        <v>tall coneflower</v>
      </c>
      <c r="C45" s="44">
        <f>IF(LEN(VLOOKUP(A45,'Species List'!$A:$G,3,FALSE))=0,"",VLOOKUP(A45,'Species List'!$A:$G,3,FALSE))</f>
        <v>6</v>
      </c>
      <c r="D45" s="98">
        <f t="shared" si="4"/>
        <v>6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FACW</v>
      </c>
      <c r="H45" s="44">
        <f>VLOOKUP(A45,'Species List'!$A:$G,7,FALSE)</f>
        <v>0</v>
      </c>
      <c r="J45" s="135" t="s">
        <v>4822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1.7751479289940829E-2</v>
      </c>
      <c r="O45" s="97">
        <f t="shared" si="6"/>
        <v>0.10650887573964497</v>
      </c>
    </row>
    <row r="46" spans="1:15" x14ac:dyDescent="0.2">
      <c r="A46" s="135" t="s">
        <v>4036</v>
      </c>
      <c r="B46" s="44" t="str">
        <f>IF(LEN(VLOOKUP(A46,'Species List'!$A:$G,2,FALSE))=0,"",VLOOKUP(A46,'Species List'!$A:$G,2,FALSE))</f>
        <v>lance-leaved figwort</v>
      </c>
      <c r="C46" s="44">
        <f>IF(LEN(VLOOKUP(A46,'Species List'!$A:$G,3,FALSE))=0,"",VLOOKUP(A46,'Species List'!$A:$G,3,FALSE))</f>
        <v>4</v>
      </c>
      <c r="D46" s="98">
        <f t="shared" si="4"/>
        <v>4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FACU+</v>
      </c>
      <c r="H46" s="44">
        <f>VLOOKUP(A46,'Species List'!$A:$G,7,FALSE)</f>
        <v>0</v>
      </c>
      <c r="J46" s="135" t="s">
        <v>4822</v>
      </c>
      <c r="K46" s="47" t="str">
        <f>VLOOKUP(J46,'Species List'!$H$1:$J$9,2,FALSE)</f>
        <v>&gt;1-5%</v>
      </c>
      <c r="L46" s="47">
        <f>VLOOKUP(K46,'Species List'!$I$1:$N$8,2,FALSE)</f>
        <v>3</v>
      </c>
      <c r="M46" s="99">
        <f t="shared" si="5"/>
        <v>3</v>
      </c>
      <c r="N46" s="97">
        <f t="shared" si="7"/>
        <v>1.7751479289940829E-2</v>
      </c>
      <c r="O46" s="97">
        <f t="shared" si="6"/>
        <v>7.1005917159763315E-2</v>
      </c>
    </row>
    <row r="47" spans="1:15" x14ac:dyDescent="0.2">
      <c r="A47" s="135" t="s">
        <v>3690</v>
      </c>
      <c r="B47" s="44" t="str">
        <f>IF(LEN(VLOOKUP(A47,'Species List'!$A:$G,2,FALSE))=0,"",VLOOKUP(A47,'Species List'!$A:$G,2,FALSE))</f>
        <v/>
      </c>
      <c r="C47" s="44">
        <f>IF(LEN(VLOOKUP(A47,'Species List'!$A:$G,3,FALSE))=0,"",VLOOKUP(A47,'Species List'!$A:$G,3,FALSE))</f>
        <v>5</v>
      </c>
      <c r="D47" s="98">
        <f t="shared" si="4"/>
        <v>5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FACW</v>
      </c>
      <c r="H47" s="44">
        <f>VLOOKUP(A47,'Species List'!$A:$G,7,FALSE)</f>
        <v>0</v>
      </c>
      <c r="J47" s="135" t="s">
        <v>4822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97">
        <f t="shared" si="7"/>
        <v>1.7751479289940829E-2</v>
      </c>
      <c r="O47" s="97">
        <f t="shared" si="6"/>
        <v>8.8757396449704151E-2</v>
      </c>
    </row>
    <row r="48" spans="1:15" x14ac:dyDescent="0.2">
      <c r="A48" s="135" t="s">
        <v>228</v>
      </c>
      <c r="B48" s="44" t="str">
        <f>IF(LEN(VLOOKUP(A48,'Species List'!$A:$G,2,FALSE))=0,"",VLOOKUP(A48,'Species List'!$A:$G,2,FALSE))</f>
        <v>blue giant hyssop</v>
      </c>
      <c r="C48" s="44">
        <f>IF(LEN(VLOOKUP(A48,'Species List'!$A:$G,3,FALSE))=0,"",VLOOKUP(A48,'Species List'!$A:$G,3,FALSE))</f>
        <v>6</v>
      </c>
      <c r="D48" s="98">
        <f t="shared" si="4"/>
        <v>6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/>
      </c>
      <c r="H48" s="44">
        <f>VLOOKUP(A48,'Species List'!$A:$G,7,FALSE)</f>
        <v>0</v>
      </c>
      <c r="J48" s="135" t="s">
        <v>4822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1.7751479289940829E-2</v>
      </c>
      <c r="O48" s="97">
        <f t="shared" si="6"/>
        <v>0.10650887573964497</v>
      </c>
    </row>
    <row r="49" spans="1:15" x14ac:dyDescent="0.2">
      <c r="A49" s="135" t="s">
        <v>3577</v>
      </c>
      <c r="B49" s="44" t="str">
        <f>IF(LEN(VLOOKUP(A49,'Species List'!$A:$G,2,FALSE))=0,"",VLOOKUP(A49,'Species List'!$A:$G,2,FALSE))</f>
        <v>rough-fruited cinquefoil</v>
      </c>
      <c r="C49" s="44">
        <f>IF(LEN(VLOOKUP(A49,'Species List'!$A:$G,3,FALSE))=0,"",VLOOKUP(A49,'Species List'!$A:$G,3,FALSE))</f>
        <v>0</v>
      </c>
      <c r="D49" s="98">
        <f t="shared" si="4"/>
        <v>0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Introduced</v>
      </c>
      <c r="G49" s="44" t="str">
        <f>IF(LEN(VLOOKUP(A49,'Species List'!$A:$G,6,FALSE))=0,"",VLOOKUP(A49,'Species List'!$A:$G,6,FALSE))</f>
        <v/>
      </c>
      <c r="H49" s="44">
        <f>VLOOKUP(A49,'Species List'!$A:$G,7,FALSE)</f>
        <v>0</v>
      </c>
      <c r="J49" s="135" t="s">
        <v>4824</v>
      </c>
      <c r="K49" s="47" t="str">
        <f>VLOOKUP(J49,'Species List'!$H$1:$J$9,2,FALSE)</f>
        <v>&gt;0-1%</v>
      </c>
      <c r="L49" s="47">
        <f>VLOOKUP(K49,'Species List'!$I$1:$N$8,2,FALSE)</f>
        <v>0.5</v>
      </c>
      <c r="M49" s="99">
        <f t="shared" si="5"/>
        <v>0.5</v>
      </c>
      <c r="N49" s="97">
        <f t="shared" si="7"/>
        <v>2.9585798816568047E-3</v>
      </c>
      <c r="O49" s="97">
        <f t="shared" si="6"/>
        <v>0</v>
      </c>
    </row>
    <row r="50" spans="1:15" x14ac:dyDescent="0.2">
      <c r="A50" s="135" t="s">
        <v>3351</v>
      </c>
      <c r="B50" s="44" t="str">
        <f>IF(LEN(VLOOKUP(A50,'Species List'!$A:$G,2,FALSE))=0,"",VLOOKUP(A50,'Species List'!$A:$G,2,FALSE))</f>
        <v>Rugel's plantain</v>
      </c>
      <c r="C50" s="44">
        <f>IF(LEN(VLOOKUP(A50,'Species List'!$A:$G,3,FALSE))=0,"",VLOOKUP(A50,'Species List'!$A:$G,3,FALSE))</f>
        <v>0</v>
      </c>
      <c r="D50" s="98">
        <f t="shared" si="4"/>
        <v>0</v>
      </c>
      <c r="E50" s="44" t="str">
        <f>IF(LEN(VLOOKUP(A50,'Species List'!$A:$G,4,FALSE))=0,"",VLOOKUP(A50,'Species List'!$A:$G,4,FALSE))</f>
        <v>H</v>
      </c>
      <c r="F50" s="44" t="str">
        <f>IF(LEN(VLOOKUP(A50,'Species List'!$A:$G,5,FALSE))=0,"",VLOOKUP(A50,'Species List'!$A:$G,5,FALSE))</f>
        <v>Native</v>
      </c>
      <c r="G50" s="44" t="str">
        <f>IF(LEN(VLOOKUP(A50,'Species List'!$A:$G,6,FALSE))=0,"",VLOOKUP(A50,'Species List'!$A:$G,6,FALSE))</f>
        <v>[FAC]</v>
      </c>
      <c r="H50" s="44">
        <f>VLOOKUP(A50,'Species List'!$A:$G,7,FALSE)</f>
        <v>0</v>
      </c>
      <c r="J50" s="135" t="s">
        <v>4822</v>
      </c>
      <c r="K50" s="47" t="str">
        <f>VLOOKUP(J50,'Species List'!$H$1:$J$9,2,FALSE)</f>
        <v>&gt;1-5%</v>
      </c>
      <c r="L50" s="47">
        <f>VLOOKUP(K50,'Species List'!$I$1:$N$8,2,FALSE)</f>
        <v>3</v>
      </c>
      <c r="M50" s="99">
        <f t="shared" si="5"/>
        <v>3</v>
      </c>
      <c r="N50" s="97">
        <f t="shared" si="7"/>
        <v>1.7751479289940829E-2</v>
      </c>
      <c r="O50" s="97">
        <f t="shared" si="6"/>
        <v>0</v>
      </c>
    </row>
    <row r="51" spans="1:15" x14ac:dyDescent="0.2">
      <c r="A51" s="135" t="s">
        <v>2275</v>
      </c>
      <c r="B51" s="44" t="str">
        <f>IF(LEN(VLOOKUP(A51,'Species List'!$A:$G,2,FALSE))=0,"",VLOOKUP(A51,'Species List'!$A:$G,2,FALSE))</f>
        <v>Virginia stickseed</v>
      </c>
      <c r="C51" s="44">
        <f>IF(LEN(VLOOKUP(A51,'Species List'!$A:$G,3,FALSE))=0,"",VLOOKUP(A51,'Species List'!$A:$G,3,FALSE))</f>
        <v>1</v>
      </c>
      <c r="D51" s="98">
        <f t="shared" si="4"/>
        <v>1</v>
      </c>
      <c r="E51" s="44" t="str">
        <f>IF(LEN(VLOOKUP(A51,'Species List'!$A:$G,4,FALSE))=0,"",VLOOKUP(A51,'Species List'!$A:$G,4,FALSE))</f>
        <v>H</v>
      </c>
      <c r="F51" s="44" t="str">
        <f>IF(LEN(VLOOKUP(A51,'Species List'!$A:$G,5,FALSE))=0,"",VLOOKUP(A51,'Species List'!$A:$G,5,FALSE))</f>
        <v>Native</v>
      </c>
      <c r="G51" s="44" t="str">
        <f>IF(LEN(VLOOKUP(A51,'Species List'!$A:$G,6,FALSE))=0,"",VLOOKUP(A51,'Species List'!$A:$G,6,FALSE))</f>
        <v>FAC-</v>
      </c>
      <c r="H51" s="44">
        <f>VLOOKUP(A51,'Species List'!$A:$G,7,FALSE)</f>
        <v>0</v>
      </c>
      <c r="J51" s="135" t="s">
        <v>4822</v>
      </c>
      <c r="K51" s="47" t="str">
        <f>VLOOKUP(J51,'Species List'!$H$1:$J$9,2,FALSE)</f>
        <v>&gt;1-5%</v>
      </c>
      <c r="L51" s="47">
        <f>VLOOKUP(K51,'Species List'!$I$1:$N$8,2,FALSE)</f>
        <v>3</v>
      </c>
      <c r="M51" s="99">
        <f t="shared" si="5"/>
        <v>3</v>
      </c>
      <c r="N51" s="97">
        <f t="shared" si="7"/>
        <v>1.7751479289940829E-2</v>
      </c>
      <c r="O51" s="97">
        <f t="shared" si="6"/>
        <v>1.7751479289940829E-2</v>
      </c>
    </row>
    <row r="52" spans="1:15" x14ac:dyDescent="0.2">
      <c r="A52" s="135" t="s">
        <v>4412</v>
      </c>
      <c r="B52" s="44" t="str">
        <f>IF(LEN(VLOOKUP(A52,'Species List'!$A:$G,2,FALSE))=0,"",VLOOKUP(A52,'Species List'!$A:$G,2,FALSE))</f>
        <v>common dandelion</v>
      </c>
      <c r="C52" s="44">
        <f>IF(LEN(VLOOKUP(A52,'Species List'!$A:$G,3,FALSE))=0,"",VLOOKUP(A52,'Species List'!$A:$G,3,FALSE))</f>
        <v>0</v>
      </c>
      <c r="D52" s="98">
        <f t="shared" si="4"/>
        <v>0</v>
      </c>
      <c r="E52" s="44" t="str">
        <f>IF(LEN(VLOOKUP(A52,'Species List'!$A:$G,4,FALSE))=0,"",VLOOKUP(A52,'Species List'!$A:$G,4,FALSE))</f>
        <v>H</v>
      </c>
      <c r="F52" s="44" t="str">
        <f>IF(LEN(VLOOKUP(A52,'Species List'!$A:$G,5,FALSE))=0,"",VLOOKUP(A52,'Species List'!$A:$G,5,FALSE))</f>
        <v>Introduced</v>
      </c>
      <c r="G52" s="44" t="str">
        <f>IF(LEN(VLOOKUP(A52,'Species List'!$A:$G,6,FALSE))=0,"",VLOOKUP(A52,'Species List'!$A:$G,6,FALSE))</f>
        <v>FACU</v>
      </c>
      <c r="H52" s="44">
        <f>VLOOKUP(A52,'Species List'!$A:$G,7,FALSE)</f>
        <v>0</v>
      </c>
      <c r="J52" s="135" t="s">
        <v>4822</v>
      </c>
      <c r="K52" s="47" t="str">
        <f>VLOOKUP(J52,'Species List'!$H$1:$J$9,2,FALSE)</f>
        <v>&gt;1-5%</v>
      </c>
      <c r="L52" s="47">
        <f>VLOOKUP(K52,'Species List'!$I$1:$N$8,2,FALSE)</f>
        <v>3</v>
      </c>
      <c r="M52" s="99">
        <f t="shared" si="5"/>
        <v>3</v>
      </c>
      <c r="N52" s="97">
        <f t="shared" si="7"/>
        <v>1.7751479289940829E-2</v>
      </c>
      <c r="O52" s="97">
        <f t="shared" si="6"/>
        <v>0</v>
      </c>
    </row>
    <row r="53" spans="1:15" x14ac:dyDescent="0.2">
      <c r="A53" s="135" t="s">
        <v>457</v>
      </c>
      <c r="B53" s="44" t="str">
        <f>IF(LEN(VLOOKUP(A53,'Species List'!$A:$G,2,FALSE))=0,"",VLOOKUP(A53,'Species List'!$A:$G,2,FALSE))</f>
        <v>common burdock</v>
      </c>
      <c r="C53" s="44">
        <f>IF(LEN(VLOOKUP(A53,'Species List'!$A:$G,3,FALSE))=0,"",VLOOKUP(A53,'Species List'!$A:$G,3,FALSE))</f>
        <v>0</v>
      </c>
      <c r="D53" s="98">
        <f t="shared" si="4"/>
        <v>0</v>
      </c>
      <c r="E53" s="44" t="str">
        <f>IF(LEN(VLOOKUP(A53,'Species List'!$A:$G,4,FALSE))=0,"",VLOOKUP(A53,'Species List'!$A:$G,4,FALSE))</f>
        <v>H</v>
      </c>
      <c r="F53" s="44" t="str">
        <f>IF(LEN(VLOOKUP(A53,'Species List'!$A:$G,5,FALSE))=0,"",VLOOKUP(A53,'Species List'!$A:$G,5,FALSE))</f>
        <v>Introduced</v>
      </c>
      <c r="G53" s="44" t="str">
        <f>IF(LEN(VLOOKUP(A53,'Species List'!$A:$G,6,FALSE))=0,"",VLOOKUP(A53,'Species List'!$A:$G,6,FALSE))</f>
        <v>FACU</v>
      </c>
      <c r="H53" s="44">
        <f>VLOOKUP(A53,'Species List'!$A:$G,7,FALSE)</f>
        <v>0</v>
      </c>
      <c r="J53" s="135" t="s">
        <v>4822</v>
      </c>
      <c r="K53" s="47" t="str">
        <f>VLOOKUP(J53,'Species List'!$H$1:$J$9,2,FALSE)</f>
        <v>&gt;1-5%</v>
      </c>
      <c r="L53" s="47">
        <f>VLOOKUP(K53,'Species List'!$I$1:$N$8,2,FALSE)</f>
        <v>3</v>
      </c>
      <c r="M53" s="99">
        <f t="shared" si="5"/>
        <v>3</v>
      </c>
      <c r="N53" s="97">
        <f t="shared" si="7"/>
        <v>1.7751479289940829E-2</v>
      </c>
      <c r="O53" s="97">
        <f t="shared" si="6"/>
        <v>0</v>
      </c>
    </row>
    <row r="54" spans="1:15" x14ac:dyDescent="0.2">
      <c r="A54" s="135" t="s">
        <v>2718</v>
      </c>
      <c r="B54" s="44" t="str">
        <f>IF(LEN(VLOOKUP(A54,'Species List'!$A:$G,2,FALSE))=0,"",VLOOKUP(A54,'Species List'!$A:$G,2,FALSE))</f>
        <v>wild honeysuckle</v>
      </c>
      <c r="C54" s="44">
        <f>IF(LEN(VLOOKUP(A54,'Species List'!$A:$G,3,FALSE))=0,"",VLOOKUP(A54,'Species List'!$A:$G,3,FALSE))</f>
        <v>5</v>
      </c>
      <c r="D54" s="98">
        <f t="shared" si="4"/>
        <v>5</v>
      </c>
      <c r="E54" s="44" t="str">
        <f>IF(LEN(VLOOKUP(A54,'Species List'!$A:$G,4,FALSE))=0,"",VLOOKUP(A54,'Species List'!$A:$G,4,FALSE))</f>
        <v>C</v>
      </c>
      <c r="F54" s="44" t="str">
        <f>IF(LEN(VLOOKUP(A54,'Species List'!$A:$G,5,FALSE))=0,"",VLOOKUP(A54,'Species List'!$A:$G,5,FALSE))</f>
        <v>Native</v>
      </c>
      <c r="G54" s="44" t="str">
        <f>IF(LEN(VLOOKUP(A54,'Species List'!$A:$G,6,FALSE))=0,"",VLOOKUP(A54,'Species List'!$A:$G,6,FALSE))</f>
        <v>FACU</v>
      </c>
      <c r="H54" s="44">
        <f>VLOOKUP(A54,'Species List'!$A:$G,7,FALSE)</f>
        <v>0</v>
      </c>
      <c r="J54" s="135" t="s">
        <v>4822</v>
      </c>
      <c r="K54" s="47" t="str">
        <f>VLOOKUP(J54,'Species List'!$H$1:$J$9,2,FALSE)</f>
        <v>&gt;1-5%</v>
      </c>
      <c r="L54" s="47">
        <f>VLOOKUP(K54,'Species List'!$I$1:$N$8,2,FALSE)</f>
        <v>3</v>
      </c>
      <c r="M54" s="99">
        <f t="shared" si="5"/>
        <v>3</v>
      </c>
      <c r="N54" s="97">
        <f t="shared" si="7"/>
        <v>1.7751479289940829E-2</v>
      </c>
      <c r="O54" s="97">
        <f t="shared" si="6"/>
        <v>8.8757396449704151E-2</v>
      </c>
    </row>
    <row r="55" spans="1:15" x14ac:dyDescent="0.2">
      <c r="A55" s="135" t="s">
        <v>199</v>
      </c>
      <c r="B55" s="44" t="str">
        <f>IF(LEN(VLOOKUP(A55,'Species List'!$A:$G,2,FALSE))=0,"",VLOOKUP(A55,'Species List'!$A:$G,2,FALSE))</f>
        <v>red baneberry</v>
      </c>
      <c r="C55" s="44">
        <f>IF(LEN(VLOOKUP(A55,'Species List'!$A:$G,3,FALSE))=0,"",VLOOKUP(A55,'Species List'!$A:$G,3,FALSE))</f>
        <v>7</v>
      </c>
      <c r="D55" s="98">
        <f t="shared" si="4"/>
        <v>7</v>
      </c>
      <c r="E55" s="44" t="str">
        <f>IF(LEN(VLOOKUP(A55,'Species List'!$A:$G,4,FALSE))=0,"",VLOOKUP(A55,'Species List'!$A:$G,4,FALSE))</f>
        <v>H</v>
      </c>
      <c r="F55" s="44" t="str">
        <f>IF(LEN(VLOOKUP(A55,'Species List'!$A:$G,5,FALSE))=0,"",VLOOKUP(A55,'Species List'!$A:$G,5,FALSE))</f>
        <v>Native</v>
      </c>
      <c r="G55" s="44" t="str">
        <f>IF(LEN(VLOOKUP(A55,'Species List'!$A:$G,6,FALSE))=0,"",VLOOKUP(A55,'Species List'!$A:$G,6,FALSE))</f>
        <v>FACU</v>
      </c>
      <c r="H55" s="44">
        <f>VLOOKUP(A55,'Species List'!$A:$G,7,FALSE)</f>
        <v>0</v>
      </c>
      <c r="J55" s="135" t="s">
        <v>4822</v>
      </c>
      <c r="K55" s="47" t="str">
        <f>VLOOKUP(J55,'Species List'!$H$1:$J$9,2,FALSE)</f>
        <v>&gt;1-5%</v>
      </c>
      <c r="L55" s="47">
        <f>VLOOKUP(K55,'Species List'!$I$1:$N$8,2,FALSE)</f>
        <v>3</v>
      </c>
      <c r="M55" s="99">
        <f t="shared" si="5"/>
        <v>3</v>
      </c>
      <c r="N55" s="97">
        <f t="shared" si="7"/>
        <v>1.7751479289940829E-2</v>
      </c>
      <c r="O55" s="97">
        <f t="shared" si="6"/>
        <v>0.1242603550295858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8" t="s">
        <v>4791</v>
      </c>
      <c r="J150" s="159"/>
      <c r="K150" s="160"/>
      <c r="L150" s="63">
        <f>SUMIF(L10:L149,"&gt;=0")</f>
        <v>169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17" sqref="C17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6" t="s">
        <v>127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7"/>
      <c r="C7" s="157"/>
      <c r="D7" s="157"/>
      <c r="E7" s="15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5" t="s">
        <v>3403</v>
      </c>
      <c r="B10" s="44" t="str">
        <f>IF(LEN(VLOOKUP(A10,'Species List'!$A:$G,2,FALSE))=0,"",VLOOKUP(A10,'Species List'!$A:$G,2,FALSE))</f>
        <v>Kentucky bluegrass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5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0.29411764705882354</v>
      </c>
      <c r="O10" s="105">
        <f t="shared" ref="O10:O76" si="3">D10*N10</f>
        <v>0</v>
      </c>
    </row>
    <row r="11" spans="1:15" x14ac:dyDescent="0.2">
      <c r="A11" s="135" t="s">
        <v>3248</v>
      </c>
      <c r="B11" s="44" t="str">
        <f>IF(LEN(VLOOKUP(A11,'Species List'!$A:$G,2,FALSE))=0,"",VLOOKUP(A11,'Species List'!$A:$G,2,FALSE))</f>
        <v>reed canary grass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FACW+</v>
      </c>
      <c r="H11" s="44">
        <f>VLOOKUP(A11,'Species List'!$A:$G,7,FALSE)</f>
        <v>0</v>
      </c>
      <c r="J11" s="13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5.8823529411764705E-2</v>
      </c>
      <c r="O11" s="105">
        <f t="shared" si="3"/>
        <v>0</v>
      </c>
    </row>
    <row r="12" spans="1:15" x14ac:dyDescent="0.2">
      <c r="A12" s="135" t="s">
        <v>1130</v>
      </c>
      <c r="B12" s="44" t="str">
        <f>IF(LEN(VLOOKUP(A12,'Species List'!$A:$G,2,FALSE))=0,"",VLOOKUP(A12,'Species List'!$A:$G,2,FALSE))</f>
        <v>starry sedge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3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5.8823529411764705E-2</v>
      </c>
      <c r="O12" s="104">
        <f t="shared" si="3"/>
        <v>0.23529411764705882</v>
      </c>
    </row>
    <row r="13" spans="1:15" x14ac:dyDescent="0.2">
      <c r="A13" s="135" t="s">
        <v>4866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0.29411764705882354</v>
      </c>
      <c r="O13" s="97">
        <f t="shared" si="3"/>
        <v>0.88235294117647056</v>
      </c>
    </row>
    <row r="14" spans="1:15" x14ac:dyDescent="0.2">
      <c r="A14" s="135" t="s">
        <v>252</v>
      </c>
      <c r="B14" s="44" t="str">
        <f>IF(LEN(VLOOKUP(A14,'Species List'!$A:$G,2,FALSE))=0,"",VLOOKUP(A14,'Species List'!$A:$G,2,FALSE))</f>
        <v>redtop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[FACW]</v>
      </c>
      <c r="H14" s="44">
        <f>VLOOKUP(A14,'Species List'!$A:$G,7,FALSE)</f>
        <v>0</v>
      </c>
      <c r="J14" s="13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5.8823529411764705E-2</v>
      </c>
      <c r="O14" s="97">
        <f t="shared" si="3"/>
        <v>0</v>
      </c>
    </row>
    <row r="15" spans="1:15" x14ac:dyDescent="0.2">
      <c r="A15" s="135" t="s">
        <v>5458</v>
      </c>
      <c r="B15" s="44" t="e">
        <f>IF(LEN(VLOOKUP(A15,'Species List'!$A:$G,2,FALSE))=0,"",VLOOKUP(A15,'Species List'!$A:$G,2,FALSE))</f>
        <v>#N/A</v>
      </c>
      <c r="C15" s="44">
        <v>0</v>
      </c>
      <c r="D15" s="98">
        <f t="shared" si="0"/>
        <v>0</v>
      </c>
      <c r="E15" s="44" t="s">
        <v>189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35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5.8823529411764705E-2</v>
      </c>
      <c r="O15" s="97">
        <f t="shared" si="3"/>
        <v>0</v>
      </c>
    </row>
    <row r="16" spans="1:15" x14ac:dyDescent="0.2">
      <c r="A16" s="135" t="s">
        <v>5459</v>
      </c>
      <c r="B16" s="44" t="e">
        <f>IF(LEN(VLOOKUP(A16,'Species List'!$A:$G,2,FALSE))=0,"",VLOOKUP(A16,'Species List'!$A:$G,2,FALSE))</f>
        <v>#N/A</v>
      </c>
      <c r="C16" s="44">
        <v>3</v>
      </c>
      <c r="D16" s="98">
        <f t="shared" si="0"/>
        <v>3</v>
      </c>
      <c r="E16" s="44" t="s">
        <v>189</v>
      </c>
      <c r="F16" s="44" t="s">
        <v>147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35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5.8823529411764705E-2</v>
      </c>
      <c r="O16" s="97">
        <f t="shared" si="3"/>
        <v>0.1764705882352941</v>
      </c>
    </row>
    <row r="17" spans="1:15" x14ac:dyDescent="0.2">
      <c r="A17" s="135" t="s">
        <v>1855</v>
      </c>
      <c r="B17" s="44" t="str">
        <f>IF(LEN(VLOOKUP(A17,'Species List'!$A:$G,2,FALSE))=0,"",VLOOKUP(A17,'Species List'!$A:$G,2,FALSE))</f>
        <v>bottlebrush grass</v>
      </c>
      <c r="C17" s="44">
        <f>IF(LEN(VLOOKUP(A17,'Species List'!$A:$G,3,FALSE))=0,"",VLOOKUP(A17,'Species List'!$A:$G,3,FALSE))</f>
        <v>6</v>
      </c>
      <c r="D17" s="98">
        <f t="shared" si="0"/>
        <v>6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5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5.8823529411764705E-2</v>
      </c>
      <c r="O17" s="97">
        <f t="shared" si="3"/>
        <v>0.3529411764705882</v>
      </c>
    </row>
    <row r="18" spans="1:15" x14ac:dyDescent="0.2">
      <c r="A18" s="135" t="s">
        <v>1867</v>
      </c>
      <c r="B18" s="44" t="str">
        <f>IF(LEN(VLOOKUP(A18,'Species List'!$A:$G,2,FALSE))=0,"",VLOOKUP(A18,'Species List'!$A:$G,2,FALSE))</f>
        <v>Virginia wildrye</v>
      </c>
      <c r="C18" s="44">
        <f>IF(LEN(VLOOKUP(A18,'Species List'!$A:$G,3,FALSE))=0,"",VLOOKUP(A18,'Species List'!$A:$G,3,FALSE))</f>
        <v>4</v>
      </c>
      <c r="D18" s="98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35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5.8823529411764705E-2</v>
      </c>
      <c r="O18" s="97">
        <f t="shared" si="3"/>
        <v>0.23529411764705882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8" t="s">
        <v>4791</v>
      </c>
      <c r="J151" s="159"/>
      <c r="K151" s="160"/>
      <c r="L151" s="63">
        <f>SUMIF(L10:L150,"&gt;=0")</f>
        <v>51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33C1-E3F2-415D-B30F-A48BF6660AC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5460</v>
      </c>
    </row>
    <row r="29" spans="1:1" x14ac:dyDescent="0.2">
      <c r="A29" t="s">
        <v>5461</v>
      </c>
    </row>
    <row r="30" spans="1:1" x14ac:dyDescent="0.2">
      <c r="A30" t="s">
        <v>5462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5513</v>
      </c>
    </row>
    <row r="55" spans="1:1" x14ac:dyDescent="0.2">
      <c r="A55" t="s">
        <v>5514</v>
      </c>
    </row>
    <row r="56" spans="1:1" x14ac:dyDescent="0.2">
      <c r="A56" t="s">
        <v>5515</v>
      </c>
    </row>
    <row r="57" spans="1:1" x14ac:dyDescent="0.2">
      <c r="A57" t="s">
        <v>5516</v>
      </c>
    </row>
    <row r="58" spans="1:1" x14ac:dyDescent="0.2">
      <c r="A58" t="s">
        <v>5517</v>
      </c>
    </row>
    <row r="59" spans="1:1" x14ac:dyDescent="0.2">
      <c r="A59" t="s">
        <v>5518</v>
      </c>
    </row>
    <row r="60" spans="1:1" x14ac:dyDescent="0.2">
      <c r="A60" t="s">
        <v>5519</v>
      </c>
    </row>
    <row r="61" spans="1:1" x14ac:dyDescent="0.2">
      <c r="A61" t="s">
        <v>5520</v>
      </c>
    </row>
    <row r="62" spans="1:1" x14ac:dyDescent="0.2">
      <c r="A62" t="s">
        <v>5521</v>
      </c>
    </row>
    <row r="63" spans="1:1" x14ac:dyDescent="0.2">
      <c r="A63" t="s">
        <v>5522</v>
      </c>
    </row>
    <row r="64" spans="1:1" x14ac:dyDescent="0.2">
      <c r="A64" t="s">
        <v>5523</v>
      </c>
    </row>
    <row r="65" spans="1:1" x14ac:dyDescent="0.2">
      <c r="A65" t="s">
        <v>5524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1" t="s">
        <v>4779</v>
      </c>
      <c r="B1" s="161"/>
      <c r="C1" s="161"/>
      <c r="D1" s="161"/>
      <c r="E1" s="161"/>
      <c r="F1" s="161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20</v>
      </c>
      <c r="C4" s="101">
        <f>COUNTIF(Forbs!$F$10:$F$147,"Native")</f>
        <v>40</v>
      </c>
      <c r="D4" s="101">
        <f>COUNTIF(Grasses!$F$10:$F$149,"Native")</f>
        <v>5</v>
      </c>
      <c r="E4" s="101">
        <f>AVERAGE(B4:D4)</f>
        <v>21.666666666666668</v>
      </c>
      <c r="F4" s="101">
        <f>SUM(B4:D4)</f>
        <v>65</v>
      </c>
    </row>
    <row r="5" spans="1:6" ht="18" x14ac:dyDescent="0.25">
      <c r="A5" s="53" t="s">
        <v>4784</v>
      </c>
      <c r="B5" s="101">
        <f>COUNTIF(Woody!$F10:$F199,"Introduced")</f>
        <v>8</v>
      </c>
      <c r="C5" s="101">
        <f>COUNTIF(Forbs!$F10:$F198,"Introduced")</f>
        <v>6</v>
      </c>
      <c r="D5" s="101">
        <f>COUNTIF(Grasses!$F10:$F199,"Introduced")</f>
        <v>3</v>
      </c>
      <c r="E5" s="101">
        <f t="shared" ref="E5:E6" si="0">AVERAGE(B5:D5)</f>
        <v>5.666666666666667</v>
      </c>
      <c r="F5" s="101">
        <f>SUM(B5:D5)</f>
        <v>17</v>
      </c>
    </row>
    <row r="6" spans="1:6" s="81" customFormat="1" ht="21" x14ac:dyDescent="0.35">
      <c r="A6" s="53" t="s">
        <v>4826</v>
      </c>
      <c r="B6" s="101">
        <f>SUM(B4:B5)</f>
        <v>28</v>
      </c>
      <c r="C6" s="101">
        <f>SUM(C4:C5)</f>
        <v>46</v>
      </c>
      <c r="D6" s="101">
        <f>SUM(D4:D5)</f>
        <v>8</v>
      </c>
      <c r="E6" s="101">
        <f t="shared" si="0"/>
        <v>27.333333333333332</v>
      </c>
      <c r="F6" s="101">
        <f>SUM(B6:D6)</f>
        <v>82</v>
      </c>
    </row>
    <row r="7" spans="1:6" ht="18" x14ac:dyDescent="0.25">
      <c r="A7" s="53" t="s">
        <v>4785</v>
      </c>
      <c r="B7" s="101">
        <f>AVERAGEIF(Woody!D10:D150,"&gt;0")</f>
        <v>2.85</v>
      </c>
      <c r="C7" s="101">
        <f>AVERAGEIF(Forbs!D10:D149,"&gt;0")</f>
        <v>3.7027027027027026</v>
      </c>
      <c r="D7" s="101">
        <f>AVERAGEIF(Grasses!D10:D150,"&gt;0")</f>
        <v>4</v>
      </c>
      <c r="E7" s="101">
        <f>AVERAGE(B7:D7)</f>
        <v>3.5175675675675677</v>
      </c>
      <c r="F7" s="101">
        <f>(SUMIF(Woody!D10:D150,"&gt;0")+SUMIF(Forbs!D10:D149,"&gt;0")+SUMIF(Grasses!D10:D150,"&gt;0"))/(COUNTIF(Woody!D10:D150,"&gt;0")+COUNTIF(Forbs!D10:D149,"&gt;0")+COUNTIF(Grasses!D10:D150,"&gt;0"))</f>
        <v>3.4516129032258065</v>
      </c>
    </row>
    <row r="8" spans="1:6" s="31" customFormat="1" ht="21" x14ac:dyDescent="0.35">
      <c r="A8" s="53" t="s">
        <v>4827</v>
      </c>
      <c r="B8" s="101">
        <f>AVERAGEIF(Woody!D10:D150,"&gt;=0")</f>
        <v>2.0357142857142856</v>
      </c>
      <c r="C8" s="101">
        <f>AVERAGEIF(Forbs!D10:D149,"&gt;=0")</f>
        <v>2.9782608695652173</v>
      </c>
      <c r="D8" s="101">
        <f>AVERAGEIF(Grasses!D10:D150,"&gt;=0")</f>
        <v>2.2222222222222223</v>
      </c>
      <c r="E8" s="101">
        <f>AVERAGE(B8:D8)</f>
        <v>2.4120657925005751</v>
      </c>
      <c r="F8" s="101">
        <f>(SUMIF(Woody!D10:D150,"&gt;=0")+SUMIF(Forbs!D10:D149,"&gt;=0")+SUMIF(Grasses!D10:D150,"&gt;=0"))/(COUNTIF(Woody!D10:D150,"&gt;=0")+COUNTIF(Forbs!D10:D149,"&gt;=0")+COUNTIF(Grasses!D10:D150,"&gt;=0"))</f>
        <v>2.5783132530120483</v>
      </c>
    </row>
    <row r="9" spans="1:6" ht="18" x14ac:dyDescent="0.25">
      <c r="A9" s="53" t="s">
        <v>4778</v>
      </c>
      <c r="B9" s="101">
        <f>SQRT(B4)*B7</f>
        <v>12.745587471748802</v>
      </c>
      <c r="C9" s="101">
        <f>SQRT(C4)*C7</f>
        <v>23.417948078003676</v>
      </c>
      <c r="D9" s="101">
        <f>SQRT(D4)*D7</f>
        <v>8.9442719099991592</v>
      </c>
      <c r="E9" s="101">
        <f>SQRT(E4)*E7</f>
        <v>16.373385961229982</v>
      </c>
      <c r="F9" s="101">
        <f>SQRT(F4)*F7</f>
        <v>27.82779287315951</v>
      </c>
    </row>
    <row r="10" spans="1:6" s="82" customFormat="1" ht="21" x14ac:dyDescent="0.35">
      <c r="A10" s="53" t="s">
        <v>4828</v>
      </c>
      <c r="B10" s="101">
        <f>SQRT(B6)*B8</f>
        <v>10.771987480762975</v>
      </c>
      <c r="C10" s="101">
        <f>SQRT(C6)*C8</f>
        <v>20.199547993220907</v>
      </c>
      <c r="D10" s="101">
        <f>SQRT(D6)*D8</f>
        <v>6.2853936105470902</v>
      </c>
      <c r="E10" s="101">
        <f>SQRT(E6)*E8</f>
        <v>12.610591233335271</v>
      </c>
      <c r="F10" s="101">
        <f>SQRT(F6)*F8</f>
        <v>23.347619512788039</v>
      </c>
    </row>
    <row r="11" spans="1:6" ht="18" x14ac:dyDescent="0.25">
      <c r="A11" s="53" t="s">
        <v>4786</v>
      </c>
      <c r="B11" s="101">
        <f>SUMIF(Woody!$M$10:$M$150,"&gt;=0")</f>
        <v>261.5</v>
      </c>
      <c r="C11" s="101">
        <f>SUMIF(Forbs!$M$10:$M$150,"&gt;=0")</f>
        <v>169</v>
      </c>
      <c r="D11" s="101">
        <f>SUMIF(Grasses!$M$10:$M$150,"&gt;=0")</f>
        <v>51</v>
      </c>
      <c r="E11" s="101">
        <f>AVERAGE(B11:D11)</f>
        <v>160.5</v>
      </c>
      <c r="F11" s="101">
        <f>SUM(B11:D11)</f>
        <v>481.5</v>
      </c>
    </row>
    <row r="12" spans="1:6" ht="18" x14ac:dyDescent="0.25">
      <c r="A12" s="53" t="s">
        <v>4792</v>
      </c>
      <c r="B12" s="101">
        <f>SUMIF(Woody!$F$10:$F$150,"Introduced",Woody!$L$10:$L$150)</f>
        <v>75</v>
      </c>
      <c r="C12" s="101">
        <f>SUMIF(Forbs!$F$10:$F$150,"Introduced",Forbs!$L$10:$L$150)</f>
        <v>15.5</v>
      </c>
      <c r="D12" s="101">
        <f>SUMIF(Grasses!$F$10:$F$150,"Introduced",Grasses!$L$10:$L$150)</f>
        <v>21</v>
      </c>
      <c r="E12" s="101">
        <f>AVERAGE(B12:D12)</f>
        <v>37.166666666666664</v>
      </c>
      <c r="F12" s="101">
        <f>SUM(B12:D12)</f>
        <v>111.5</v>
      </c>
    </row>
    <row r="13" spans="1:6" ht="18.75" thickBot="1" x14ac:dyDescent="0.3">
      <c r="A13" s="54" t="s">
        <v>4787</v>
      </c>
      <c r="B13" s="102">
        <f>B12/B11</f>
        <v>0.28680688336520077</v>
      </c>
      <c r="C13" s="102">
        <f>C12/C11</f>
        <v>9.1715976331360943E-2</v>
      </c>
      <c r="D13" s="102">
        <f>D12/D11</f>
        <v>0.41176470588235292</v>
      </c>
      <c r="E13" s="102">
        <f>E12/E11</f>
        <v>0.23156801661474558</v>
      </c>
      <c r="F13" s="102">
        <f>F12/F11</f>
        <v>0.23156801661474558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2.2581261950286811</v>
      </c>
      <c r="C15" s="100">
        <f>SUMIF(Forbs!$O$10:$O$149,"&gt;=0")</f>
        <v>2.8402366863905328</v>
      </c>
      <c r="D15" s="100">
        <f>SUMIF(Grasses!$O$10:$O$150,"&gt;=0")</f>
        <v>1.8823529411764706</v>
      </c>
      <c r="E15" s="100">
        <f>AVERAGE(B15:D15)</f>
        <v>2.3269052741985612</v>
      </c>
      <c r="F15" s="101">
        <f>SUM(B15:D15)</f>
        <v>6.980715822595684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2025-11-25T03:09:50Z</dcterms:modified>
</cp:coreProperties>
</file>