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A1AE4584-5102-4D3B-821F-E0EE20086AEA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H10" i="9"/>
  <c r="G10" i="9"/>
  <c r="F10" i="9"/>
  <c r="E10" i="9"/>
  <c r="C10" i="9"/>
  <c r="D10" i="9" s="1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6" i="9" l="1"/>
  <c r="F17" i="9"/>
  <c r="F18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9" i="10"/>
  <c r="C50" i="10"/>
  <c r="C51" i="10"/>
  <c r="C52" i="10"/>
  <c r="C53" i="10"/>
  <c r="C54" i="10"/>
  <c r="C55" i="10"/>
  <c r="C57" i="10"/>
  <c r="C58" i="10"/>
  <c r="C59" i="10"/>
  <c r="C60" i="10"/>
  <c r="C61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7" i="9"/>
  <c r="D18" i="9"/>
  <c r="C19" i="9"/>
  <c r="C22" i="9"/>
  <c r="C2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38" i="9"/>
  <c r="L38" i="9" s="1"/>
  <c r="M38" i="9" s="1"/>
  <c r="H38" i="9"/>
  <c r="G38" i="9"/>
  <c r="F38" i="9"/>
  <c r="E38" i="9"/>
  <c r="C38" i="9"/>
  <c r="D38" i="9" s="1"/>
  <c r="B38" i="9"/>
  <c r="K36" i="9"/>
  <c r="L36" i="9" s="1"/>
  <c r="M36" i="9" s="1"/>
  <c r="H36" i="9"/>
  <c r="G36" i="9"/>
  <c r="F36" i="9"/>
  <c r="E36" i="9"/>
  <c r="C36" i="9"/>
  <c r="D36" i="9" s="1"/>
  <c r="B36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1" i="9"/>
  <c r="L31" i="9" s="1"/>
  <c r="M31" i="9" s="1"/>
  <c r="H31" i="9"/>
  <c r="G31" i="9"/>
  <c r="F31" i="9"/>
  <c r="E31" i="9"/>
  <c r="C31" i="9"/>
  <c r="D31" i="9" s="1"/>
  <c r="B31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3" i="9"/>
  <c r="O2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9" i="9"/>
  <c r="O19" i="9" s="1"/>
  <c r="N12" i="9"/>
  <c r="O12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<sst xmlns="http://schemas.openxmlformats.org/spreadsheetml/2006/main" count="13350" uniqueCount="5529">
  <si>
    <t>a</t>
    <phoneticPr fontId="13" type="noConversion"/>
  </si>
  <si>
    <t>b</t>
    <phoneticPr fontId="13" type="noConversion"/>
  </si>
  <si>
    <t>C</t>
    <phoneticPr fontId="13" type="noConversion"/>
  </si>
  <si>
    <t>E</t>
    <phoneticPr fontId="13" type="noConversion"/>
  </si>
  <si>
    <t>0.5-2m</t>
    <phoneticPr fontId="13" type="noConversion"/>
  </si>
  <si>
    <t>0.1-0.5m</t>
    <phoneticPr fontId="13" type="noConversion"/>
  </si>
  <si>
    <t>0-0.1m</t>
    <phoneticPr fontId="13" type="noConversion"/>
  </si>
  <si>
    <t>small colonies, broken mat</t>
    <phoneticPr fontId="13" type="noConversion"/>
  </si>
  <si>
    <t>large group, many plants</t>
    <phoneticPr fontId="13" type="noConversion"/>
  </si>
  <si>
    <t>small dense clumps</t>
    <phoneticPr fontId="13" type="noConversion"/>
  </si>
  <si>
    <t>growing singly</t>
    <phoneticPr fontId="13" type="noConversion"/>
  </si>
  <si>
    <t>Thatch:</t>
    <phoneticPr fontId="13" type="noConversion"/>
  </si>
  <si>
    <t>c</t>
    <phoneticPr fontId="13" type="noConversion"/>
  </si>
  <si>
    <t>i</t>
    <phoneticPr fontId="13" type="noConversion"/>
  </si>
  <si>
    <t>p</t>
    <phoneticPr fontId="13" type="noConversion"/>
  </si>
  <si>
    <t>r</t>
    <phoneticPr fontId="13" type="noConversion"/>
  </si>
  <si>
    <t>50-75%</t>
    <phoneticPr fontId="13" type="noConversion"/>
  </si>
  <si>
    <t>25-50%</t>
    <phoneticPr fontId="13" type="noConversion"/>
  </si>
  <si>
    <t>5-25%</t>
    <phoneticPr fontId="13" type="noConversion"/>
  </si>
  <si>
    <t>1-5%</t>
    <phoneticPr fontId="13" type="noConversion"/>
  </si>
  <si>
    <t>Extensive mat</t>
    <phoneticPr fontId="13" type="noConversion"/>
  </si>
  <si>
    <t>Abundance</t>
    <phoneticPr fontId="13" type="noConversion"/>
  </si>
  <si>
    <t>Group</t>
    <phoneticPr fontId="13" type="noConversion"/>
  </si>
  <si>
    <t>B</t>
    <phoneticPr fontId="13" type="noConversion"/>
  </si>
  <si>
    <t>D</t>
    <phoneticPr fontId="13" type="noConversion"/>
  </si>
  <si>
    <t>G</t>
    <phoneticPr fontId="13" type="noConversion"/>
  </si>
  <si>
    <t>H</t>
    <phoneticPr fontId="13" type="noConversion"/>
  </si>
  <si>
    <t>L</t>
    <phoneticPr fontId="13" type="noConversion"/>
  </si>
  <si>
    <t>K</t>
    <phoneticPr fontId="13" type="noConversion"/>
  </si>
  <si>
    <t>X</t>
    <phoneticPr fontId="13" type="noConversion"/>
  </si>
  <si>
    <t>Broadleaf evergreen</t>
    <phoneticPr fontId="13" type="noConversion"/>
  </si>
  <si>
    <t>Broadleaf deciduous</t>
    <phoneticPr fontId="13" type="noConversion"/>
  </si>
  <si>
    <t>Needleleaf evergreen</t>
    <phoneticPr fontId="13" type="noConversion"/>
  </si>
  <si>
    <t>Graminoids</t>
    <phoneticPr fontId="13" type="noConversion"/>
  </si>
  <si>
    <t>Forbs</t>
    <phoneticPr fontId="13" type="noConversion"/>
  </si>
  <si>
    <t>Lichens &amp; mosses</t>
    <phoneticPr fontId="13" type="noConversion"/>
  </si>
  <si>
    <t>Climbers</t>
    <phoneticPr fontId="13" type="noConversion"/>
  </si>
  <si>
    <t>Stem succulents</t>
    <phoneticPr fontId="13" type="noConversion"/>
  </si>
  <si>
    <t>Epiphytes</t>
    <phoneticPr fontId="13" type="noConversion"/>
  </si>
  <si>
    <t xml:space="preserve"> +</t>
    <phoneticPr fontId="13" type="noConversion"/>
  </si>
  <si>
    <t>&lt;5% cover, many individuals</t>
    <phoneticPr fontId="13" type="noConversion"/>
  </si>
  <si>
    <t>&lt;5% cover, few (2-20) individuals</t>
    <phoneticPr fontId="13" type="noConversion"/>
  </si>
  <si>
    <t>&lt;5% cover, single</t>
    <phoneticPr fontId="13" type="noConversion"/>
  </si>
  <si>
    <t>Life Form</t>
    <phoneticPr fontId="13" type="noConversion"/>
  </si>
  <si>
    <t>Height</t>
    <phoneticPr fontId="13" type="noConversion"/>
  </si>
  <si>
    <t>Sociability</t>
    <phoneticPr fontId="13" type="noConversion"/>
  </si>
  <si>
    <t>&gt;35m</t>
    <phoneticPr fontId="13" type="noConversion"/>
  </si>
  <si>
    <t>20-35m</t>
    <phoneticPr fontId="13" type="noConversion"/>
  </si>
  <si>
    <t>10-20m</t>
    <phoneticPr fontId="13" type="noConversion"/>
  </si>
  <si>
    <t>5-10m</t>
    <phoneticPr fontId="13" type="noConversion"/>
  </si>
  <si>
    <t>2-5m</t>
    <phoneticPr fontId="13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</si>
  <si>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</si>
  <si>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</si>
  <si>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</si>
  <si>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</si>
  <si>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</si>
  <si>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</si>
  <si>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</si>
  <si>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</si>
  <si>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</si>
  <si>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</si>
  <si>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</si>
  <si>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</si>
  <si>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</si>
  <si>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</si>
  <si>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</si>
  <si>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</si>
  <si>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</si>
  <si>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</si>
  <si>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</si>
  <si>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</si>
  <si>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</si>
  <si>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</si>
  <si>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</si>
  <si>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</si>
  <si>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</si>
  <si>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</si>
  <si>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</si>
  <si>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</si>
  <si>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</si>
  <si>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</si>
  <si>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</si>
  <si>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</si>
  <si>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</si>
  <si>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</si>
  <si>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</si>
  <si>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</si>
  <si>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</si>
  <si>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</si>
  <si>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</si>
  <si>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</si>
  <si>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</si>
  <si>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</si>
  <si>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</si>
  <si>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</si>
  <si>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</si>
  <si>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</si>
  <si>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</si>
  <si>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</si>
  <si>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</si>
  <si>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</si>
  <si>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</si>
  <si>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</si>
  <si>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</si>
  <si>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</si>
  <si>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</si>
  <si>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</si>
  <si>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</si>
  <si>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</si>
  <si>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</si>
  <si>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</si>
  <si>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</si>
  <si>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</si>
  <si>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</si>
  <si>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</si>
  <si>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</si>
  <si>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</si>
  <si>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</si>
  <si>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</si>
  <si>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</si>
  <si>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</si>
  <si>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</si>
  <si>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</si>
  <si>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</si>
  <si>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</si>
  <si>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</si>
  <si>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</si>
  <si>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</si>
  <si>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</si>
  <si>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</si>
  <si>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</si>
  <si>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</si>
  <si>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</si>
  <si>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</si>
  <si>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</si>
  <si>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</si>
  <si>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</si>
  <si>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</si>
  <si>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</si>
  <si>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</si>
  <si>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</si>
  <si>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</si>
  <si>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</si>
  <si>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</si>
  <si>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</si>
  <si>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</si>
  <si>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</si>
  <si>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</si>
  <si>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</si>
  <si>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</si>
  <si>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</si>
  <si>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</si>
  <si>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</si>
  <si>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</si>
  <si>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</si>
  <si>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</si>
  <si>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</si>
  <si>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</si>
  <si>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</si>
  <si>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</si>
  <si>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</si>
  <si>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</si>
  <si>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</si>
  <si>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</si>
  <si>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</si>
  <si>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</si>
  <si>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</si>
  <si>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</si>
  <si>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</si>
  <si>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</si>
  <si>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</si>
  <si>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</si>
  <si>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</si>
  <si>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</si>
  <si>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</si>
  <si>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</si>
  <si>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</si>
  <si>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</si>
  <si>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</si>
  <si>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</si>
  <si>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</si>
  <si>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</si>
  <si>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</si>
  <si>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</si>
  <si>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</si>
  <si>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</si>
  <si>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</si>
  <si>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</si>
  <si>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</si>
  <si>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</si>
  <si>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</si>
  <si>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</si>
  <si>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</si>
  <si>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</si>
  <si>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</si>
  <si>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</si>
  <si>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</si>
  <si>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</si>
  <si>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</si>
  <si>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</si>
  <si>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</si>
  <si>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</si>
  <si>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</si>
  <si>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</si>
  <si>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</si>
  <si>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</si>
  <si>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</si>
  <si>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</si>
  <si>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</si>
  <si>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</si>
  <si>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</si>
  <si>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</si>
  <si>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</si>
  <si>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</si>
  <si>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</si>
  <si>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</si>
  <si>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</si>
  <si>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</si>
  <si>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</si>
  <si>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</si>
  <si>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</si>
  <si>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</si>
  <si>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</si>
  <si>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</si>
  <si>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</si>
  <si>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</si>
  <si>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</si>
  <si>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</si>
  <si>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</si>
  <si>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</si>
  <si>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</si>
  <si>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</si>
  <si>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</si>
  <si>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</si>
  <si>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</si>
  <si>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</si>
  <si>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</si>
  <si>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</si>
  <si>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</si>
  <si>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</si>
  <si>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</si>
  <si>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</si>
  <si>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</si>
  <si>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</si>
  <si>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</si>
  <si>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</si>
  <si>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</si>
  <si>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</si>
  <si>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</si>
  <si>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</si>
  <si>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</si>
  <si>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</si>
  <si>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</si>
  <si>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</si>
  <si>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</si>
  <si>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</si>
  <si>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</si>
  <si>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</si>
  <si>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</si>
  <si>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</si>
  <si>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</si>
  <si>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</si>
  <si>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</si>
  <si>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</si>
  <si>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</si>
  <si>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</si>
  <si>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</si>
  <si>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</si>
  <si>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</si>
  <si>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</si>
  <si>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</si>
  <si>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</si>
  <si>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</si>
  <si>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</si>
  <si>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</si>
  <si>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</si>
  <si>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</si>
  <si>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</si>
  <si>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</si>
  <si>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</si>
  <si>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</si>
  <si>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</si>
  <si>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</si>
  <si>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</si>
  <si>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</si>
  <si>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</si>
  <si>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</si>
  <si>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</si>
  <si>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</si>
  <si>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</si>
  <si>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</si>
  <si>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</si>
  <si>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</si>
  <si>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</si>
  <si>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</si>
  <si>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</si>
  <si>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</si>
  <si>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</si>
  <si>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</si>
  <si>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</si>
  <si>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</si>
  <si>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</si>
  <si>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</si>
  <si>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</si>
  <si>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</si>
  <si>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</si>
  <si>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</si>
  <si>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</si>
  <si>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</si>
  <si>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</si>
  <si>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</si>
  <si>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</si>
  <si>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</si>
  <si>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</si>
  <si>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</si>
  <si>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</si>
  <si>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</si>
  <si>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</si>
  <si>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</si>
  <si>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</si>
  <si>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</si>
  <si>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</si>
  <si>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</si>
  <si>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</si>
  <si>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</si>
  <si>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</si>
  <si>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</si>
  <si>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</si>
  <si>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</si>
  <si>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</si>
  <si>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</si>
  <si>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</si>
  <si>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</si>
  <si>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</si>
  <si>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</si>
  <si>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</si>
  <si>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</si>
  <si>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</si>
  <si>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</si>
  <si>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</si>
  <si>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</si>
  <si>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</si>
  <si>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</si>
  <si>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</si>
  <si>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</si>
  <si>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</si>
  <si>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</si>
  <si>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</si>
  <si>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</si>
  <si>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</si>
  <si>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</si>
  <si>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</si>
  <si>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</si>
  <si>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</si>
  <si>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</si>
  <si>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</si>
  <si>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</si>
  <si>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</si>
  <si>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</si>
  <si>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</si>
  <si>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</si>
  <si>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</si>
  <si>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</si>
  <si>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</si>
  <si>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</si>
  <si>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</si>
  <si>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</si>
  <si>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</si>
  <si>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</si>
  <si>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</si>
  <si>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</si>
  <si>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</si>
  <si>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</si>
  <si>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</si>
  <si>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</si>
  <si>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</si>
  <si>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</si>
  <si>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</si>
  <si>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</si>
  <si>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</si>
  <si>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</si>
  <si>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</si>
  <si>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</si>
  <si>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</si>
  <si>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</si>
  <si>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</si>
  <si>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</si>
  <si>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</si>
  <si>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</si>
  <si>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</si>
  <si>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</si>
  <si>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</si>
  <si>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</si>
  <si>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</si>
  <si>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</si>
  <si>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</si>
  <si>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</si>
  <si>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</si>
  <si>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</si>
  <si>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</si>
  <si>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</si>
  <si>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</si>
  <si>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</si>
  <si>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</si>
  <si>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</si>
  <si>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</si>
  <si>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</si>
  <si>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</si>
  <si>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</si>
  <si>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</si>
  <si>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</si>
  <si>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</si>
  <si>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</si>
  <si>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</si>
  <si>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</si>
  <si>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</si>
  <si>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</si>
  <si>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</si>
  <si>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</si>
  <si>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</si>
  <si>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</si>
  <si>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</si>
  <si>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</si>
  <si>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</si>
  <si>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</si>
  <si>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</si>
  <si>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</si>
  <si>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</si>
  <si>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</si>
  <si>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</si>
  <si>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</si>
  <si>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</si>
  <si>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</si>
  <si>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</si>
  <si>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</si>
  <si>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</si>
  <si>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</si>
  <si>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</si>
  <si>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</si>
  <si>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</si>
  <si>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</si>
  <si>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</si>
  <si>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</si>
  <si>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</si>
  <si>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</si>
  <si>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</si>
  <si>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</si>
  <si>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</si>
  <si>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</si>
  <si>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</si>
  <si>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</si>
  <si>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</si>
  <si>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</si>
  <si>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</si>
  <si>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</si>
  <si>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</si>
  <si>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</si>
  <si>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</si>
  <si>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</si>
  <si>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</si>
  <si>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</si>
  <si>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</si>
  <si>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</si>
  <si>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</si>
  <si>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</si>
  <si>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</si>
  <si>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</si>
  <si>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</si>
  <si>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</si>
  <si>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</si>
  <si>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</si>
  <si>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</si>
  <si>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</si>
  <si>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</si>
  <si>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</si>
  <si>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</si>
  <si>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</si>
  <si>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</si>
  <si>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</si>
  <si>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</si>
  <si>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</si>
  <si>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</si>
  <si>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</si>
  <si>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</si>
  <si>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</si>
  <si>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</si>
  <si>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</si>
  <si>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</si>
  <si>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</si>
  <si>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</si>
  <si>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</si>
  <si>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</si>
  <si>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</si>
  <si>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</si>
  <si>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</si>
  <si>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</si>
  <si>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</si>
  <si>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</si>
  <si>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</si>
  <si>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</si>
  <si>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</si>
  <si>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</si>
  <si>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</si>
  <si>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</si>
  <si>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</si>
  <si>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</si>
  <si>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</si>
  <si>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</si>
  <si>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</si>
  <si>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</si>
  <si>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</si>
  <si>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</si>
  <si>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</si>
  <si>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</si>
  <si>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</si>
  <si>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</si>
  <si>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</si>
  <si>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</si>
  <si>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</si>
  <si>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</si>
  <si>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</si>
  <si>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</si>
  <si>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</si>
  <si>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</si>
  <si>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</si>
  <si>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</si>
  <si>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</si>
  <si>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</si>
  <si>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</si>
  <si>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</si>
  <si>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</si>
  <si>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</si>
  <si>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</si>
  <si>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</si>
  <si>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</si>
  <si>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</si>
  <si>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</si>
  <si>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</si>
  <si>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</si>
  <si>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</si>
  <si>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</si>
  <si>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</si>
  <si>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</si>
  <si>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</si>
  <si>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</si>
  <si>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</si>
  <si>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</si>
  <si>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</si>
  <si>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</si>
  <si>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</si>
  <si>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</si>
  <si>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</si>
  <si>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</si>
  <si>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</si>
  <si>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</si>
  <si>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</si>
  <si>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</si>
  <si>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</si>
  <si>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</si>
  <si>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</si>
  <si>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</si>
  <si>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</si>
  <si>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</si>
  <si>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</si>
  <si>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</si>
  <si>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</si>
  <si>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</si>
  <si>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</si>
  <si>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</si>
  <si>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</si>
  <si>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</si>
  <si>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</si>
  <si>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</si>
  <si>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</si>
  <si>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</si>
  <si>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</si>
  <si>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</si>
  <si>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</si>
  <si>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</si>
  <si>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</si>
  <si>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</si>
  <si>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</si>
  <si>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</si>
  <si>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</si>
  <si>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</si>
  <si>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</si>
  <si>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</si>
  <si>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</si>
  <si>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</si>
  <si>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</si>
  <si>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</si>
  <si>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</si>
  <si>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</si>
  <si>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</si>
  <si>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</si>
  <si>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</si>
  <si>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</si>
  <si>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</si>
  <si>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</si>
  <si>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</si>
  <si>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</si>
  <si>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</si>
  <si>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</si>
  <si>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</si>
  <si>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</si>
  <si>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</si>
  <si>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</si>
  <si>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</si>
  <si>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</si>
  <si>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</si>
  <si>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</si>
  <si>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</si>
  <si>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</si>
  <si>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</si>
  <si>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</si>
  <si>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</si>
  <si>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</si>
  <si>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</si>
  <si>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</si>
  <si>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</si>
  <si>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</si>
  <si>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</si>
  <si>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</si>
  <si>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</si>
  <si>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</si>
  <si>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</si>
  <si>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</si>
  <si>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</si>
  <si>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</si>
  <si>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</si>
  <si>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</si>
  <si>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</si>
  <si>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</si>
  <si>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</si>
  <si>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</si>
  <si>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</si>
  <si>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</si>
  <si>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</si>
  <si>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</si>
  <si>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</si>
  <si>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</si>
  <si>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</si>
  <si>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</si>
  <si>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</si>
  <si>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</si>
  <si>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</si>
  <si>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</si>
  <si>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</si>
  <si>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</si>
  <si>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</si>
  <si>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</si>
  <si>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</si>
  <si>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</si>
  <si>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</si>
  <si>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</si>
  <si>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</si>
  <si>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</si>
  <si>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</si>
  <si>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</si>
  <si>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</si>
  <si>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</si>
  <si>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</si>
  <si>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</si>
  <si>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</si>
  <si>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</si>
  <si>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</si>
  <si>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</si>
  <si>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</si>
  <si>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</si>
  <si>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</si>
  <si>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</si>
  <si>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</si>
  <si>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</si>
  <si>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</si>
  <si>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</si>
  <si>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</si>
  <si>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</si>
  <si>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</si>
  <si>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</si>
  <si>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</si>
  <si>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</si>
  <si>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</si>
  <si>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</si>
  <si>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</si>
  <si>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</si>
  <si>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</si>
  <si>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</si>
  <si>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</si>
  <si>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</si>
  <si>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</si>
  <si>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</si>
  <si>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</si>
  <si>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</si>
  <si>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</si>
  <si>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</si>
  <si>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</si>
  <si>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</si>
  <si>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</si>
  <si>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</si>
  <si>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</si>
  <si>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</si>
  <si>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</si>
  <si>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</si>
  <si>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</si>
  <si>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</si>
  <si>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</si>
  <si>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</si>
  <si>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</si>
  <si>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</si>
  <si>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</si>
  <si>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</si>
  <si>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</si>
  <si>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</si>
  <si>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</si>
  <si>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</si>
  <si>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</si>
  <si>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</si>
  <si>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</si>
  <si>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</si>
  <si>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</si>
  <si>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</si>
  <si>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</si>
  <si>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</si>
  <si>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</si>
  <si>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</si>
  <si>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</si>
  <si>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</si>
  <si>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</si>
  <si>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</si>
  <si>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</si>
  <si>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</si>
  <si>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</si>
  <si>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</si>
  <si>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</si>
  <si>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</si>
  <si>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</si>
  <si>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</si>
  <si>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</si>
  <si>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</si>
  <si>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</si>
  <si>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</si>
  <si>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</si>
  <si>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</si>
  <si>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</si>
  <si>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</si>
  <si>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</si>
  <si>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</si>
  <si>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</si>
  <si>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</si>
  <si>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</si>
  <si>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</si>
  <si>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</si>
  <si>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</si>
  <si>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</si>
  <si>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</si>
  <si>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</si>
  <si>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</si>
  <si>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</si>
  <si>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</si>
  <si>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</si>
  <si>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</si>
  <si>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</si>
  <si>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</si>
  <si>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</si>
  <si>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</si>
  <si>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</si>
  <si>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</si>
  <si>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</si>
  <si>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</si>
  <si>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</si>
  <si>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</si>
  <si>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</si>
  <si>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</si>
  <si>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</si>
  <si>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</si>
  <si>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</si>
  <si>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</si>
  <si>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</si>
  <si>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</si>
  <si>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</si>
  <si>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</si>
  <si>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</si>
  <si>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</si>
  <si>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</si>
  <si>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</si>
  <si>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</si>
  <si>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</si>
  <si>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</si>
  <si>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</si>
  <si>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</si>
  <si>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</si>
  <si>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</si>
  <si>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</si>
  <si>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</si>
  <si>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</si>
  <si>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</si>
  <si>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</si>
  <si>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</si>
  <si>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</si>
  <si>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</si>
  <si>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</si>
  <si>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</si>
  <si>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</si>
  <si>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</si>
  <si>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</si>
  <si>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</si>
  <si>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</si>
  <si>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</si>
  <si>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</si>
  <si>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</si>
  <si>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</si>
  <si>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</si>
  <si>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</si>
  <si>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</si>
  <si>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</si>
  <si>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</si>
  <si>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</si>
  <si>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</si>
  <si>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</si>
  <si>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</si>
  <si>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</si>
  <si>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</si>
  <si>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</si>
  <si>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</si>
  <si>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</si>
  <si>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</si>
  <si>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</si>
  <si>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</si>
  <si>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</si>
  <si>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</si>
  <si>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</si>
  <si>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</si>
  <si>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</si>
  <si>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</si>
  <si>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</si>
  <si>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</si>
  <si>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</si>
  <si>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</si>
  <si>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</si>
  <si>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</si>
  <si>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</si>
  <si>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</si>
  <si>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</si>
  <si>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</si>
  <si>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</si>
  <si>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</si>
  <si>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</si>
  <si>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</si>
  <si>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</si>
  <si>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</si>
  <si>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</si>
  <si>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</si>
  <si>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</si>
  <si>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</si>
  <si>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</si>
  <si>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</si>
  <si>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</si>
  <si>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</si>
  <si>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</si>
  <si>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</si>
  <si>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</si>
  <si>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</si>
  <si>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</si>
  <si>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</si>
  <si>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</si>
  <si>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</si>
  <si>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</si>
  <si>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</si>
  <si>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</si>
  <si>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</si>
  <si>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</si>
  <si>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</si>
  <si>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</si>
  <si>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</si>
  <si>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</si>
  <si>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</si>
  <si>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</si>
  <si>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</si>
  <si>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</si>
  <si>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</si>
  <si>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</si>
  <si>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</si>
  <si>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</si>
  <si>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</si>
  <si>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</si>
  <si>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</si>
  <si>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</si>
  <si>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</si>
  <si>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</si>
  <si>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</si>
  <si>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</si>
  <si>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</si>
  <si>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</si>
  <si>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</si>
  <si>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</si>
  <si>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</si>
  <si>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</si>
  <si>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</si>
  <si>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</si>
  <si>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</si>
  <si>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</si>
  <si>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</si>
  <si>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</si>
  <si>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</si>
  <si>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</si>
  <si>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</si>
  <si>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</si>
  <si>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</si>
  <si>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</si>
  <si>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</si>
  <si>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</si>
  <si>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</si>
  <si>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</si>
  <si>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</si>
  <si>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</si>
  <si>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</si>
  <si>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</si>
  <si>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</si>
  <si>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</si>
  <si>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</si>
  <si>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</si>
  <si>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</si>
  <si>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</si>
  <si>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</si>
  <si>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</si>
  <si>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</si>
  <si>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</si>
  <si>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</si>
  <si>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</si>
  <si>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</si>
  <si>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</si>
  <si>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</si>
  <si>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</si>
  <si>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</si>
  <si>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</si>
  <si>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</si>
  <si>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</si>
  <si>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</si>
  <si>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</si>
  <si>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</si>
  <si>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</si>
  <si>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</si>
  <si>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</si>
  <si>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</si>
  <si>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</si>
  <si>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</si>
  <si>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</si>
  <si>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</si>
  <si>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</si>
  <si>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</si>
  <si>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</si>
  <si>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</si>
  <si>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</si>
  <si>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</si>
  <si>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</si>
  <si>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</si>
  <si>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</si>
  <si>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</si>
  <si>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</si>
  <si>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</si>
  <si>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</si>
  <si>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</si>
  <si>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</si>
  <si>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</si>
  <si>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</si>
  <si>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</si>
  <si>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</si>
  <si>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</si>
  <si>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</si>
  <si>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</si>
  <si>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</si>
  <si>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</si>
  <si>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</si>
  <si>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</si>
  <si>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</si>
  <si>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</si>
  <si>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</si>
  <si>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</si>
  <si>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</si>
  <si>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</si>
  <si>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</si>
  <si>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</si>
  <si>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</si>
  <si>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</si>
  <si>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</si>
  <si>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</si>
  <si>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</si>
  <si>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</si>
  <si>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</si>
  <si>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</si>
  <si>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</si>
  <si>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</si>
  <si>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</si>
  <si>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</si>
  <si>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</si>
  <si>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</si>
  <si>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</si>
  <si>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</si>
  <si>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</si>
  <si>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</si>
  <si>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</si>
  <si>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</si>
  <si>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</si>
  <si>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</si>
  <si>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</si>
  <si>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</si>
  <si>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</si>
  <si>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</si>
  <si>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</si>
  <si>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</si>
  <si>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</si>
  <si>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</si>
  <si>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</si>
  <si>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</si>
  <si>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</si>
  <si>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</si>
  <si>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</si>
  <si>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</si>
  <si>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</si>
  <si>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</si>
  <si>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</si>
  <si>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</si>
  <si>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</si>
  <si>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</si>
  <si>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</si>
  <si>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</si>
  <si>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</si>
  <si>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</si>
  <si>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</si>
  <si>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</si>
  <si>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</si>
  <si>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</si>
  <si>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</si>
  <si>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</si>
  <si>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</si>
  <si>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</si>
  <si>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</si>
  <si>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</si>
  <si>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</si>
  <si>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</si>
  <si>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</si>
  <si>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</si>
  <si>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</si>
  <si>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</si>
  <si>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</si>
  <si>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</si>
  <si>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</si>
  <si>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</si>
  <si>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</si>
  <si>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</si>
  <si>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</si>
  <si>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</si>
  <si>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</si>
  <si>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</si>
  <si>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</si>
  <si>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</si>
  <si>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</si>
  <si>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</si>
  <si>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</si>
  <si>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</si>
  <si>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</si>
  <si>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</si>
  <si>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</si>
  <si>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</si>
  <si>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</si>
  <si>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</si>
  <si>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</si>
  <si>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</si>
  <si>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</si>
  <si>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</si>
  <si>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</si>
  <si>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</si>
  <si>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</si>
  <si>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</si>
  <si>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</si>
  <si>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</si>
  <si>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</si>
  <si>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</si>
  <si>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</si>
  <si>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</si>
  <si>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</si>
  <si>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</si>
  <si>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</si>
  <si>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</si>
  <si>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</si>
  <si>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</si>
  <si>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</si>
  <si>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</si>
  <si>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</si>
  <si>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</si>
  <si>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</si>
  <si>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</si>
  <si>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</si>
  <si>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</si>
  <si>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</si>
  <si>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</si>
  <si>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</si>
  <si>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</si>
  <si>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</si>
  <si>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</si>
  <si>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</si>
  <si>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</si>
  <si>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</si>
  <si>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</si>
  <si>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</si>
  <si>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</si>
  <si>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</si>
  <si>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</si>
  <si>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</si>
  <si>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</si>
  <si>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</si>
  <si>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</si>
  <si>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</si>
  <si>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</si>
  <si>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</si>
  <si>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</si>
  <si>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</si>
  <si>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</si>
  <si>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</si>
  <si>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</si>
  <si>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</si>
  <si>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</si>
  <si>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</si>
  <si>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</si>
  <si>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</si>
  <si>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</si>
  <si>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</si>
  <si>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</si>
  <si>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</si>
  <si>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</si>
  <si>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</si>
  <si>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</si>
  <si>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</si>
  <si>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</si>
  <si>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</si>
  <si>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</si>
  <si>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</si>
  <si>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</si>
  <si>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</si>
  <si>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</si>
  <si>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</si>
  <si>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</si>
  <si>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</si>
  <si>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</si>
  <si>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</si>
  <si>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</si>
  <si>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</si>
  <si>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</si>
  <si>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</si>
  <si>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</si>
  <si>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</si>
  <si>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</si>
  <si>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</si>
  <si>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</si>
  <si>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</si>
  <si>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</si>
  <si>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</si>
  <si>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</si>
  <si>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</si>
  <si>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</si>
  <si>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</si>
  <si>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</si>
  <si>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</si>
  <si>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</si>
  <si>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</si>
  <si>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</si>
  <si>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</si>
  <si>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</si>
  <si>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</si>
  <si>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</si>
  <si>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</si>
  <si>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</si>
  <si>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</si>
  <si>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</si>
  <si>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</si>
  <si>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</si>
  <si>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</si>
  <si>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</si>
  <si>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</si>
  <si>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</si>
  <si>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</si>
  <si>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</si>
  <si>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</si>
  <si>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</si>
  <si>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</si>
  <si>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</si>
  <si>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</si>
  <si>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</si>
  <si>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</si>
  <si>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</si>
  <si>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</si>
  <si>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</si>
  <si>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</si>
  <si>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</si>
  <si>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</si>
  <si>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</si>
  <si>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</si>
  <si>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</si>
  <si>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</si>
  <si>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</si>
  <si>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</si>
  <si>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</si>
  <si>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</si>
  <si>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</si>
  <si>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</si>
  <si>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</si>
  <si>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</si>
  <si>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</si>
  <si>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</si>
  <si>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</si>
  <si>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</si>
  <si>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</si>
  <si>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</si>
  <si>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</si>
  <si>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</si>
  <si>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</si>
  <si>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</si>
  <si>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</si>
  <si>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</si>
  <si>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</si>
  <si>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</si>
  <si>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</si>
  <si>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</si>
  <si>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</si>
  <si>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</si>
  <si>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</si>
  <si>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</si>
  <si>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</si>
  <si>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</si>
  <si>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</si>
  <si>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</si>
  <si>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</si>
  <si>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</si>
  <si>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</si>
  <si>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</si>
  <si>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</si>
  <si>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</si>
  <si>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</si>
  <si>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</si>
  <si>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</si>
  <si>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</si>
  <si>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</si>
  <si>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</si>
  <si>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</si>
  <si>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</si>
  <si>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</si>
  <si>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</si>
  <si>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</si>
  <si>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</si>
  <si>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</si>
  <si>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</si>
  <si>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</si>
  <si>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</si>
  <si>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</si>
  <si>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</si>
  <si>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</si>
  <si>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</si>
  <si>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</si>
  <si>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</si>
  <si>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</si>
  <si>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</si>
  <si>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</si>
  <si>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</si>
  <si>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</si>
  <si>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</si>
  <si>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</si>
  <si>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</si>
  <si>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</si>
  <si>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</si>
  <si>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</si>
  <si>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</si>
  <si>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</si>
  <si>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</si>
  <si>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</si>
  <si>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</si>
  <si>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</si>
  <si>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</si>
  <si>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</si>
  <si>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</si>
  <si>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</si>
  <si>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</si>
  <si>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</si>
  <si>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</si>
  <si>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</si>
  <si>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</si>
  <si>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</si>
  <si>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</si>
  <si>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</si>
  <si>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</si>
  <si>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</si>
  <si>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</si>
  <si>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</si>
  <si>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</si>
  <si>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</si>
  <si>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</si>
  <si>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</si>
  <si>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</si>
  <si>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</si>
  <si>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</si>
  <si>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</si>
  <si>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</si>
  <si>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</si>
  <si>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</si>
  <si>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</si>
  <si>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</si>
  <si>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</si>
  <si>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</si>
  <si>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</si>
  <si>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</si>
  <si>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</si>
  <si>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</si>
  <si>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</si>
  <si>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</si>
  <si>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</si>
  <si>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</si>
  <si>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</si>
  <si>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</si>
  <si>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</si>
  <si>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</si>
  <si>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</si>
  <si>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</si>
  <si>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</si>
  <si>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</si>
  <si>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</si>
  <si>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</si>
  <si>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</si>
  <si>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</si>
  <si>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</si>
  <si>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</si>
  <si>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</si>
  <si>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</si>
  <si>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</si>
  <si>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</si>
  <si>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</si>
  <si>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</si>
  <si>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</si>
  <si>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</si>
  <si>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</si>
  <si>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</si>
  <si>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</si>
  <si>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</si>
  <si>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</si>
  <si>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</si>
  <si>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</si>
  <si>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</si>
  <si>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</si>
  <si>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</si>
  <si>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</si>
  <si>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</si>
  <si>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</si>
  <si>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</si>
  <si>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</si>
  <si>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</si>
  <si>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</si>
  <si>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</si>
  <si>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</si>
  <si>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</si>
  <si>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</si>
  <si>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</si>
  <si>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</si>
  <si>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</si>
  <si>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</si>
  <si>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</si>
  <si>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</si>
  <si>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</si>
  <si>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</si>
  <si>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</si>
  <si>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</si>
  <si>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</si>
  <si>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</si>
  <si>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</si>
  <si>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</si>
  <si>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</si>
  <si>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</si>
  <si>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</si>
  <si>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</si>
  <si>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</si>
  <si>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</si>
  <si>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</si>
  <si>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</si>
  <si>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</si>
  <si>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</si>
  <si>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</si>
  <si>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</si>
  <si>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</si>
  <si>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</si>
  <si>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</si>
  <si>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</si>
  <si>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</si>
  <si>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</si>
  <si>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</si>
  <si>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</si>
  <si>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</si>
  <si>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</si>
  <si>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</si>
  <si>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</si>
  <si>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</si>
  <si>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</si>
  <si>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</si>
  <si>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</si>
  <si>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</si>
  <si>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</si>
  <si>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</si>
  <si>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</si>
  <si>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</si>
  <si>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</si>
  <si>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</si>
  <si>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</si>
  <si>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</si>
  <si>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</si>
  <si>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</si>
  <si>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</si>
  <si>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</si>
  <si>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</si>
  <si>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</si>
  <si>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</si>
  <si>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</si>
  <si>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</si>
  <si>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</si>
  <si>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</si>
  <si>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</si>
  <si>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</si>
  <si>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</si>
  <si>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</si>
  <si>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</si>
  <si>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</si>
  <si>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</si>
  <si>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</si>
  <si>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</si>
  <si>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</si>
  <si>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</si>
  <si>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</si>
  <si>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</si>
  <si>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</si>
  <si>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</si>
  <si>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</si>
  <si>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</si>
  <si>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</si>
  <si>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</si>
  <si>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</si>
  <si>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</si>
  <si>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</si>
  <si>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</si>
  <si>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</si>
  <si>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</si>
  <si>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</si>
  <si>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</si>
  <si>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</si>
  <si>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</si>
  <si>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</si>
  <si>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</si>
  <si>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</si>
  <si>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</si>
  <si>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</si>
  <si>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</si>
  <si>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</si>
  <si>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</si>
  <si>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</si>
  <si>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</si>
  <si>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</si>
  <si>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</si>
  <si>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</si>
  <si>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</si>
  <si>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</si>
  <si>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</si>
  <si>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</si>
  <si>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</si>
  <si>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</si>
  <si>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</si>
  <si>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</si>
  <si>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</si>
  <si>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</si>
  <si>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</si>
  <si>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</si>
  <si>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</si>
  <si>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</si>
  <si>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</si>
  <si>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</si>
  <si>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</si>
  <si>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</si>
  <si>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</si>
  <si>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</si>
  <si>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</si>
  <si>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</si>
  <si>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</si>
  <si>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</si>
  <si>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</si>
  <si>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</si>
  <si>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</si>
  <si>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</si>
  <si>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</si>
  <si>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</si>
  <si>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</si>
  <si>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</si>
  <si>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</si>
  <si>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</si>
  <si>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</si>
  <si>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</si>
  <si>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</si>
  <si>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</si>
  <si>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</si>
  <si>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</si>
  <si>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</si>
  <si>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</si>
  <si>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</si>
  <si>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</si>
  <si>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</si>
  <si>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</si>
  <si>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</si>
  <si>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</si>
  <si>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</si>
  <si>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</si>
  <si>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</si>
  <si>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</si>
  <si>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</si>
  <si>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</si>
  <si>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</si>
  <si>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</si>
  <si>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</si>
  <si>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</si>
  <si>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</si>
  <si>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</si>
  <si>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</si>
  <si>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</si>
  <si>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</si>
  <si>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</si>
  <si>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</si>
  <si>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</si>
  <si>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</si>
  <si>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</si>
  <si>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</si>
  <si>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</si>
  <si>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</si>
  <si>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</si>
  <si>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</si>
  <si>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</si>
  <si>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</si>
  <si>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</si>
  <si>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</si>
  <si>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</si>
  <si>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</si>
  <si>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</si>
  <si>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</si>
  <si>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</si>
  <si>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</si>
  <si>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</si>
  <si>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</si>
  <si>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</si>
  <si>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</si>
  <si>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</si>
  <si>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</si>
  <si>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</si>
  <si>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</si>
  <si>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</si>
  <si>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</si>
  <si>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</si>
  <si>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</si>
  <si>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</si>
  <si>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</si>
  <si>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</si>
  <si>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</si>
  <si>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</si>
  <si>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</si>
  <si>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</si>
  <si>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</si>
  <si>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</si>
  <si>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</si>
  <si>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</si>
  <si>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</si>
  <si>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</si>
  <si>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</si>
  <si>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</si>
  <si>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</si>
  <si>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</si>
  <si>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</si>
  <si>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</si>
  <si>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</si>
  <si>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</si>
  <si>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</si>
  <si>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</si>
  <si>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</si>
  <si>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</si>
  <si>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</si>
  <si>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</si>
  <si>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</si>
  <si>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</si>
  <si>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</si>
  <si>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</si>
  <si>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</si>
  <si>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</si>
  <si>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</si>
  <si>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</si>
  <si>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</si>
  <si>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</si>
  <si>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</si>
  <si>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</si>
  <si>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</si>
  <si>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</si>
  <si>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</si>
  <si>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</si>
  <si>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</si>
  <si>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</si>
  <si>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</si>
  <si>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</si>
  <si>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</si>
  <si>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</si>
  <si>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</si>
  <si>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</si>
  <si>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</si>
  <si>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</si>
  <si>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</si>
  <si>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</si>
  <si>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</si>
  <si>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</si>
  <si>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</si>
  <si>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</si>
  <si>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</si>
  <si>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</si>
  <si>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</si>
  <si>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</si>
  <si>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</si>
  <si>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</si>
  <si>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</si>
  <si>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</si>
  <si>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</si>
  <si>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</si>
  <si>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</si>
  <si>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</si>
  <si>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</si>
  <si>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</si>
  <si>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</si>
  <si>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</si>
  <si>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</si>
  <si>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</si>
  <si>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</si>
  <si>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</si>
  <si>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</si>
  <si>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</si>
  <si>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</si>
  <si>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</si>
  <si>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</si>
  <si>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</si>
  <si>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</si>
  <si>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</si>
  <si>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</si>
  <si>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</si>
  <si>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</si>
  <si>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</si>
  <si>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</si>
  <si>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</si>
  <si>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</si>
  <si>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</si>
  <si>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</si>
  <si>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</si>
  <si>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</si>
  <si>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</si>
  <si>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</si>
  <si>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</si>
  <si>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</si>
  <si>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</si>
  <si>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</si>
  <si>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</si>
  <si>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</si>
  <si>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</si>
  <si>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</si>
  <si>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</si>
  <si>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</si>
  <si>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</si>
  <si>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</si>
  <si>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</si>
  <si>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</si>
  <si>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</si>
  <si>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</si>
  <si>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</si>
  <si>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</si>
  <si>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</si>
  <si>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</si>
  <si>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</si>
  <si>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</si>
  <si>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</si>
  <si>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</si>
  <si>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</si>
  <si>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</si>
  <si>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</si>
  <si>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</si>
  <si>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</si>
  <si>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</si>
  <si>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</si>
  <si>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</si>
  <si>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</si>
  <si>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</si>
  <si>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</si>
  <si>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</si>
  <si>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</si>
  <si>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</si>
  <si>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</si>
  <si>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</si>
  <si>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</si>
  <si>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</si>
  <si>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</si>
  <si>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</si>
  <si>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</si>
  <si>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</si>
  <si>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</si>
  <si>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</si>
  <si>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</si>
  <si>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</si>
  <si>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</si>
  <si>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</si>
  <si>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</si>
  <si>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</si>
  <si>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</si>
  <si>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</si>
  <si>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</si>
  <si>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</si>
  <si>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</si>
  <si>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</si>
  <si>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</si>
  <si>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</si>
  <si>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</si>
  <si>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</si>
  <si>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</si>
  <si>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</si>
  <si>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</si>
  <si>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</si>
  <si>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</si>
  <si>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</si>
  <si>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</si>
  <si>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</si>
  <si>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</si>
  <si>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</si>
  <si>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</si>
  <si>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</si>
  <si>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</si>
  <si>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</si>
  <si>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</si>
  <si>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</si>
  <si>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</si>
  <si>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</si>
  <si>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</si>
  <si>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</si>
  <si>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</si>
  <si>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</si>
  <si>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</si>
  <si>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</si>
  <si>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</si>
  <si>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</si>
  <si>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</si>
  <si>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</si>
  <si>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</si>
  <si>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</si>
  <si>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</si>
  <si>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</si>
  <si>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</si>
  <si>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</si>
  <si>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</si>
  <si>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</si>
  <si>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</si>
  <si>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</si>
  <si>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</si>
  <si>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</si>
  <si>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</si>
  <si>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</si>
  <si>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</si>
  <si>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</si>
  <si>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</si>
  <si>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</si>
  <si>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</si>
  <si>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</si>
  <si>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</si>
  <si>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</si>
  <si>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</si>
  <si>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</si>
  <si>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</si>
  <si>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</si>
  <si>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</si>
  <si>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</si>
  <si>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</si>
  <si>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</si>
  <si>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</si>
  <si>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</si>
  <si>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</si>
  <si>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</si>
  <si>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</si>
  <si>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</si>
  <si>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</si>
  <si>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</si>
  <si>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</si>
  <si>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</si>
  <si>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</si>
  <si>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</si>
  <si>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</si>
  <si>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</si>
  <si>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</si>
  <si>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</si>
  <si>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</si>
  <si>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</si>
  <si>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</si>
  <si>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</si>
  <si>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</si>
  <si>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</si>
  <si>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</si>
  <si>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</si>
  <si>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</si>
  <si>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</si>
  <si>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</si>
  <si>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</si>
  <si>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</si>
  <si>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</si>
  <si>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</si>
  <si>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</si>
  <si>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</si>
  <si>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</si>
  <si>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</si>
  <si>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</si>
  <si>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</si>
  <si>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</si>
  <si>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</si>
  <si>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</si>
  <si>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</si>
  <si>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</si>
  <si>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</si>
  <si>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</si>
  <si>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</si>
  <si>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</si>
  <si>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</si>
  <si>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</si>
  <si>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</si>
  <si>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</si>
  <si>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</si>
  <si>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</si>
  <si>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</si>
  <si>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</si>
  <si>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</si>
  <si>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</si>
  <si>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</si>
  <si>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</si>
  <si>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</si>
  <si>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</si>
  <si>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</si>
  <si>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</si>
  <si>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</si>
  <si>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</si>
  <si>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</si>
  <si>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</si>
  <si>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</si>
  <si>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</si>
  <si>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</si>
  <si>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</si>
  <si>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</si>
  <si>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</si>
  <si>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</si>
  <si>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</si>
  <si>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</si>
  <si>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</si>
  <si>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</si>
  <si>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</si>
  <si>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</si>
  <si>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</si>
  <si>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</si>
  <si>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</si>
  <si>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</si>
  <si>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</si>
  <si>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</si>
  <si>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</si>
  <si>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</si>
  <si>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</si>
  <si>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</si>
  <si>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</si>
  <si>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</si>
  <si>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</si>
  <si>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</si>
  <si>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</si>
  <si>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</si>
  <si>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</si>
  <si>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</si>
  <si>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</si>
  <si>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</si>
  <si>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</si>
  <si>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</si>
  <si>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</si>
  <si>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</si>
  <si>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</si>
  <si>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</si>
  <si>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</si>
  <si>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</si>
  <si>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</si>
  <si>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</si>
  <si>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</si>
  <si>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</si>
  <si>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</si>
  <si>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</si>
  <si>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</si>
  <si>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</si>
  <si>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</si>
  <si>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</si>
  <si>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</si>
  <si>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</si>
  <si>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</si>
  <si>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</si>
  <si>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</si>
  <si>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</si>
  <si>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</si>
  <si>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</si>
  <si>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</si>
  <si>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</si>
  <si>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</si>
  <si>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</si>
  <si>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</si>
  <si>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</si>
  <si>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</si>
  <si>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</si>
  <si>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</si>
  <si>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</si>
  <si>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</si>
  <si>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</si>
  <si>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</si>
  <si>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</si>
  <si>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</si>
  <si>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</si>
  <si>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</si>
  <si>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</si>
  <si>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</si>
  <si>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</si>
  <si>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</si>
  <si>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</si>
  <si>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</si>
  <si>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</si>
  <si>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</si>
  <si>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</si>
  <si>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</si>
  <si>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</si>
  <si>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</si>
  <si>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</si>
  <si>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</si>
  <si>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</si>
  <si>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</si>
  <si>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</si>
  <si>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</si>
  <si>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</si>
  <si>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</si>
  <si>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</si>
  <si>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</si>
  <si>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</si>
  <si>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</si>
  <si>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</si>
  <si>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</si>
  <si>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</si>
  <si>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</si>
  <si>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</si>
  <si>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</si>
  <si>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</si>
  <si>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</si>
  <si>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</si>
  <si>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</si>
  <si>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</si>
  <si>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</si>
  <si>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</si>
  <si>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</si>
  <si>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</si>
  <si>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</si>
  <si>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</si>
  <si>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</si>
  <si>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</si>
  <si>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</si>
  <si>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</si>
  <si>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</si>
  <si>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</si>
  <si>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</si>
  <si>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</si>
  <si>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</si>
  <si>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</si>
  <si>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</si>
  <si>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</si>
  <si>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</si>
  <si>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</si>
  <si>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</si>
  <si>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</si>
  <si>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</si>
  <si>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</si>
  <si>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</si>
  <si>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</si>
  <si>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</si>
  <si>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</si>
  <si>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</si>
  <si>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</si>
  <si>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</si>
  <si>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</si>
  <si>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</si>
  <si>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</si>
  <si>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</si>
  <si>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</si>
  <si>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</si>
  <si>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</si>
  <si>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</si>
  <si>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</si>
  <si>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</si>
  <si>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</si>
  <si>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</si>
  <si>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</si>
  <si>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</si>
  <si>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</si>
  <si>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</si>
  <si>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</si>
  <si>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</si>
  <si>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</si>
  <si>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</si>
  <si>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</si>
  <si>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</si>
  <si>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</si>
  <si>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</si>
  <si>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</si>
  <si>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</si>
  <si>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</si>
  <si>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</si>
  <si>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</si>
  <si>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</si>
  <si>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</si>
  <si>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</si>
  <si>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</si>
  <si>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</si>
  <si>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</si>
  <si>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</si>
  <si>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</si>
  <si>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</si>
  <si>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</si>
  <si>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</si>
  <si>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</si>
  <si>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</si>
  <si>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</si>
  <si>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</si>
  <si>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</si>
  <si>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</si>
  <si>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</si>
  <si>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</si>
  <si>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</si>
  <si>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</si>
  <si>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</si>
  <si>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</si>
  <si>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</si>
  <si>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</si>
  <si>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</si>
  <si>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</si>
  <si>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</si>
  <si>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</si>
  <si>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</si>
  <si>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</si>
  <si>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</si>
  <si>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</si>
  <si>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</si>
  <si>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</si>
  <si>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</si>
  <si>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</si>
  <si>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</si>
  <si>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</si>
  <si>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</si>
  <si>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</si>
  <si>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</si>
  <si>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</si>
  <si>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</si>
  <si>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</si>
  <si>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</si>
  <si>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</si>
  <si>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</si>
  <si>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</si>
  <si>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</si>
  <si>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</si>
  <si>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</si>
  <si>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</si>
  <si>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</si>
  <si>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</si>
  <si>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</si>
  <si>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</si>
  <si>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</si>
  <si>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</si>
  <si>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</si>
  <si>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</si>
  <si>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</si>
  <si>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</si>
  <si>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</si>
  <si>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</si>
  <si>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</si>
  <si>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</si>
  <si>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</si>
  <si>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</si>
  <si>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</si>
  <si>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</si>
  <si>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</si>
  <si>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</si>
  <si>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</si>
  <si>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</si>
  <si>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</si>
  <si>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</si>
  <si>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</si>
  <si>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</si>
  <si>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</si>
  <si>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</si>
  <si>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</si>
  <si>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</si>
  <si>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</si>
  <si>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</si>
  <si>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</si>
  <si>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</si>
  <si>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</si>
  <si>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</si>
  <si>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</si>
  <si>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</si>
  <si>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</si>
  <si>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</si>
  <si>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</si>
  <si>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</si>
  <si>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</si>
  <si>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</si>
  <si>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</si>
  <si>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</si>
  <si>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</si>
  <si>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</si>
  <si>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</si>
  <si>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</si>
  <si>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</si>
  <si>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</si>
  <si>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</si>
  <si>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</si>
  <si>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</si>
  <si>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</si>
  <si>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</si>
  <si>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</si>
  <si>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</si>
  <si>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</si>
  <si>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</si>
  <si>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</si>
  <si>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</si>
  <si>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</si>
  <si>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</si>
  <si>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</si>
  <si>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</si>
  <si>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</si>
  <si>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</si>
  <si>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</si>
  <si>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</si>
  <si>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</si>
  <si>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</si>
  <si>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</si>
  <si>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</si>
  <si>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</si>
  <si>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</si>
  <si>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</si>
  <si>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</si>
  <si>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</si>
  <si>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</si>
  <si>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</si>
  <si>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</si>
  <si>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</si>
  <si>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</si>
  <si>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</si>
  <si>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</si>
  <si>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</si>
  <si>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</si>
  <si>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</si>
  <si>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</si>
  <si>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</si>
  <si>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</si>
  <si>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</si>
  <si>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</si>
  <si>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</si>
  <si>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</si>
  <si>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</si>
  <si>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</si>
  <si>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</si>
  <si>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</si>
  <si>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</si>
  <si>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</si>
  <si>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</si>
  <si>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</si>
  <si>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</si>
  <si>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</si>
  <si>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</si>
  <si>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</si>
  <si>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</si>
  <si>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</si>
  <si>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</si>
  <si>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</si>
  <si>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</si>
  <si>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</si>
  <si>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</si>
  <si>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</si>
  <si>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</si>
  <si>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</si>
  <si>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</si>
  <si>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</si>
  <si>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</si>
  <si>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</si>
  <si>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</si>
  <si>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</si>
  <si>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</si>
  <si>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</si>
  <si>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</si>
  <si>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</si>
  <si>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</si>
  <si>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</si>
  <si>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</si>
  <si>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</si>
  <si>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</si>
  <si>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</si>
  <si>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</si>
  <si>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</si>
  <si>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</si>
  <si>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</si>
  <si>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</si>
  <si>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</si>
  <si>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</si>
  <si>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</si>
  <si>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</si>
  <si>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</si>
  <si>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</si>
  <si>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</si>
  <si>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</si>
  <si>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</si>
  <si>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</si>
  <si>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</si>
  <si>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</si>
  <si>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</si>
  <si>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</si>
  <si>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</si>
  <si>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</si>
  <si>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</si>
  <si>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</si>
  <si>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</si>
  <si>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</si>
  <si>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</si>
  <si>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</si>
  <si>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</si>
  <si>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</si>
  <si>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</si>
  <si>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</si>
  <si>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</si>
  <si>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</si>
  <si>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</si>
  <si>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</si>
  <si>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</si>
  <si>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</si>
  <si>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</si>
  <si>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</si>
  <si>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</si>
  <si>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</si>
  <si>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</si>
  <si>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</si>
  <si>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</si>
  <si>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</si>
  <si>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</si>
  <si>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</si>
  <si>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</si>
  <si>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</si>
  <si>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</si>
  <si>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</si>
  <si>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</si>
  <si>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</si>
  <si>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</si>
  <si>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</si>
  <si>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</si>
  <si>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</si>
  <si>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</si>
  <si>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</si>
  <si>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</si>
  <si>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</si>
  <si>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</si>
  <si>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</si>
  <si>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</si>
  <si>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</si>
  <si>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</si>
  <si>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</si>
  <si>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</si>
  <si>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</si>
  <si>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</si>
  <si>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</si>
  <si>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</si>
  <si>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</si>
  <si>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</si>
  <si>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</si>
  <si>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</si>
  <si>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</si>
  <si>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</si>
  <si>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</si>
  <si>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</si>
  <si>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</si>
  <si>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</si>
  <si>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</si>
  <si>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</si>
  <si>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</si>
  <si>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</si>
  <si>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</si>
  <si>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</si>
  <si>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</si>
  <si>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</si>
  <si>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</si>
  <si>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</si>
  <si>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</si>
  <si>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</si>
  <si>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</si>
  <si>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</si>
  <si>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</si>
  <si>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</si>
  <si>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</si>
  <si>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</si>
  <si>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</si>
  <si>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</si>
  <si>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</si>
  <si>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</si>
  <si>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</si>
  <si>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</si>
  <si>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</si>
  <si>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</si>
  <si>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</si>
  <si>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</si>
  <si>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</si>
  <si>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</si>
  <si>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</si>
  <si>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</si>
  <si>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</si>
  <si>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</si>
  <si>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</si>
  <si>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</si>
  <si>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</si>
  <si>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</si>
  <si>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</si>
  <si>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</si>
  <si>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</si>
  <si>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</si>
  <si>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</si>
  <si>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</si>
  <si>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</si>
  <si>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</si>
  <si>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</si>
  <si>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</si>
  <si>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</si>
  <si>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</si>
  <si>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</si>
  <si>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</si>
  <si>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</si>
  <si>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</si>
  <si>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</si>
  <si>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</si>
  <si>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</si>
  <si>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</si>
  <si>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</si>
  <si>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</si>
  <si>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</si>
  <si>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</si>
  <si>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</si>
  <si>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</si>
  <si>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</si>
  <si>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</si>
  <si>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</si>
  <si>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</si>
  <si>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</si>
  <si>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</si>
  <si>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</si>
  <si>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</si>
  <si>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</si>
  <si>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</si>
  <si>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</si>
  <si>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</si>
  <si>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</si>
  <si>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</si>
  <si>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</si>
  <si>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</si>
  <si>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</si>
  <si>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</si>
  <si>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</si>
  <si>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</si>
  <si>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</si>
  <si>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</si>
  <si>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</si>
  <si>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</si>
  <si>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</si>
  <si>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</si>
  <si>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</si>
  <si>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</si>
  <si>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</si>
  <si>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</si>
  <si>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</si>
  <si>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</si>
  <si>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</si>
  <si>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</si>
  <si>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</si>
  <si>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</si>
  <si>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</si>
  <si>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</si>
  <si>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</si>
  <si>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</si>
  <si>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</si>
  <si>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</si>
  <si>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</si>
  <si>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</si>
  <si>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</si>
  <si>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</si>
  <si>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</si>
  <si>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</si>
  <si>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</si>
  <si>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</si>
  <si>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</si>
  <si>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</si>
  <si>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</si>
  <si>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</si>
  <si>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</si>
  <si>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</si>
  <si>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</si>
  <si>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</si>
  <si>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</si>
  <si>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</si>
  <si>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</si>
  <si>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</si>
  <si>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</si>
  <si>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</si>
  <si>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</si>
  <si>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</si>
  <si>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</si>
  <si>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</si>
  <si>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</si>
  <si>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</si>
  <si>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</si>
  <si>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</si>
  <si>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</si>
  <si>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</si>
  <si>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</si>
  <si>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</si>
  <si>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</si>
  <si>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</si>
  <si>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</si>
  <si>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</si>
  <si>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</si>
  <si>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</si>
  <si>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</si>
  <si>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</si>
  <si>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</si>
  <si>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</si>
  <si>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</si>
  <si>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</si>
  <si>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</si>
  <si>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</si>
  <si>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</si>
  <si>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</si>
  <si>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</si>
  <si>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</si>
  <si>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</si>
  <si>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</si>
  <si>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</si>
  <si>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</si>
  <si>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</si>
  <si>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</si>
  <si>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</si>
  <si>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</si>
  <si>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</si>
  <si>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</si>
  <si>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</si>
  <si>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</si>
  <si>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</si>
  <si>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</si>
  <si>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</si>
  <si>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</si>
  <si>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</si>
  <si>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</si>
  <si>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</si>
  <si>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</si>
  <si>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</si>
  <si>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</si>
  <si>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</si>
  <si>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</si>
  <si>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</si>
  <si>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</si>
  <si>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</si>
  <si>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</si>
  <si>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</si>
  <si>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</si>
  <si>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</si>
  <si>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</si>
  <si>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</si>
  <si>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</si>
  <si>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</si>
  <si>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</si>
  <si>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</si>
  <si>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</si>
  <si>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</si>
  <si>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</si>
  <si>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</si>
  <si>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</si>
  <si>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</si>
  <si>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</si>
  <si>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</si>
  <si>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</si>
  <si>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</si>
  <si>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</si>
  <si>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</si>
  <si>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</si>
  <si>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</si>
  <si>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</si>
  <si>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</si>
  <si>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</si>
  <si>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</si>
  <si>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</si>
  <si>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</si>
  <si>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</si>
  <si>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</si>
  <si>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</si>
  <si>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</si>
  <si>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</si>
  <si>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</si>
  <si>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</si>
  <si>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</si>
  <si>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</si>
  <si>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</si>
  <si>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</si>
  <si>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</si>
  <si>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</si>
  <si>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</si>
  <si>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</si>
  <si>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</si>
  <si>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</si>
  <si>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</si>
  <si>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</si>
  <si>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</si>
  <si>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</si>
  <si>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</si>
  <si>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</si>
  <si>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</si>
  <si>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</si>
  <si>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</si>
  <si>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</si>
  <si>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</si>
  <si>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</si>
  <si>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</si>
  <si>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</si>
  <si>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</si>
  <si>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</si>
  <si>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</si>
  <si>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</si>
  <si>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</si>
  <si>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</si>
  <si>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</si>
  <si>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</si>
  <si>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</si>
  <si>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</si>
  <si>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</si>
  <si>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</si>
  <si>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</si>
  <si>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</si>
  <si>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</si>
  <si>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</si>
  <si>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</si>
  <si>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</si>
  <si>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</si>
  <si>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</si>
  <si>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</si>
  <si>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</si>
  <si>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</si>
  <si>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</si>
  <si>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</si>
  <si>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</si>
  <si>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</si>
  <si>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</si>
  <si>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</si>
  <si>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</si>
  <si>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</si>
  <si>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</si>
  <si>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</si>
  <si>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</si>
  <si>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</si>
  <si>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</si>
  <si>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</si>
  <si>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</si>
  <si>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</si>
  <si>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</si>
  <si>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</si>
  <si>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</si>
  <si>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</si>
  <si>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</si>
  <si>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</si>
  <si>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</si>
  <si>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</si>
  <si>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</si>
  <si>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</si>
  <si>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</si>
  <si>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</si>
  <si>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</si>
  <si>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</si>
  <si>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</si>
  <si>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</si>
  <si>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</si>
  <si>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</si>
  <si>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</si>
  <si>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</si>
  <si>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</si>
  <si>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</si>
  <si>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</si>
  <si>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</si>
  <si>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</si>
  <si>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</si>
  <si>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</si>
  <si>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</si>
  <si>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</si>
  <si>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</si>
  <si>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</si>
  <si>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</si>
  <si>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</si>
  <si>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</si>
  <si>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</si>
  <si>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</si>
  <si>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</si>
  <si>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</si>
  <si>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</si>
  <si>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</si>
  <si>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</si>
  <si>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</si>
  <si>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</si>
  <si>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</si>
  <si>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</si>
  <si>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</si>
  <si>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</si>
  <si>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</si>
  <si>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</si>
  <si>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</si>
  <si>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</si>
  <si>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</si>
  <si>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</si>
  <si>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</si>
  <si>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</si>
  <si>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</si>
  <si>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</si>
  <si>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</si>
  <si>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</si>
  <si>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</si>
  <si>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</si>
  <si>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</si>
  <si>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</si>
  <si>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</si>
  <si>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</si>
  <si>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</si>
  <si>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</si>
  <si>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</si>
  <si>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</si>
  <si>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</si>
  <si>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</si>
  <si>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</si>
  <si>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</si>
  <si>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</si>
  <si>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</si>
  <si>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</si>
  <si>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</si>
  <si>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</si>
  <si>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</si>
  <si>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</si>
  <si>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</si>
  <si>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</si>
  <si>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</si>
  <si>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</si>
  <si>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</si>
  <si>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</si>
  <si>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</si>
  <si>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</si>
  <si>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</si>
  <si>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</si>
  <si>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</si>
  <si>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</si>
  <si>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</si>
  <si>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</si>
  <si>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</si>
  <si>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</si>
  <si>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</si>
  <si>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</si>
  <si>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</si>
  <si>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</si>
  <si>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</si>
  <si>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</si>
  <si>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</si>
  <si>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</si>
  <si>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</si>
  <si>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</si>
  <si>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</si>
  <si>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</si>
  <si>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</si>
  <si>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</si>
  <si>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</si>
  <si>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</si>
  <si>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</si>
  <si>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</si>
  <si>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</si>
  <si>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</si>
  <si>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</si>
  <si>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</si>
  <si>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</si>
  <si>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</si>
  <si>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</si>
  <si>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</si>
  <si>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</si>
  <si>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</si>
  <si>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</si>
  <si>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</si>
  <si>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</si>
  <si>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</si>
  <si>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</si>
  <si>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</si>
  <si>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</si>
  <si>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</si>
  <si>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</si>
  <si>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</si>
  <si>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</si>
  <si>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</si>
  <si>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</si>
  <si>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</si>
  <si>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</si>
  <si>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</si>
  <si>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</si>
  <si>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</si>
  <si>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</si>
  <si>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</si>
  <si>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</si>
  <si>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</si>
  <si>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</si>
  <si>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</si>
  <si>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</si>
  <si>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</si>
  <si>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</si>
  <si>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</si>
  <si>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</si>
  <si>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</si>
  <si>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</si>
  <si>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</si>
  <si>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</si>
  <si>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</si>
  <si>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</si>
  <si>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</si>
  <si>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</si>
  <si>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</si>
  <si>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</si>
  <si>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</si>
  <si>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</si>
  <si>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</si>
  <si>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</si>
  <si>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</si>
  <si>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</si>
  <si>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</si>
  <si>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</si>
  <si>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</si>
  <si>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</si>
  <si>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</si>
  <si>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</si>
  <si>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</si>
  <si>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</si>
  <si>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</si>
  <si>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</si>
  <si>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</si>
  <si>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</si>
  <si>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</si>
  <si>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</si>
  <si>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</si>
  <si>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</si>
  <si>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</si>
  <si>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</si>
  <si>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</si>
  <si>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</si>
  <si>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</si>
  <si>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</si>
  <si>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</si>
  <si>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</si>
  <si>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</si>
  <si>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</si>
  <si>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</si>
  <si>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</si>
  <si>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</si>
  <si>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</si>
  <si>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</si>
  <si>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</si>
  <si>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</si>
  <si>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</si>
  <si>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</si>
  <si>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</si>
  <si>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</si>
  <si>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</si>
  <si>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</si>
  <si>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</si>
  <si>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</si>
  <si>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</si>
  <si>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</si>
  <si>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</si>
  <si>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</si>
  <si>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</si>
  <si>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</si>
  <si>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</si>
  <si>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</si>
  <si>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</si>
  <si>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</si>
  <si>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</si>
  <si>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</si>
  <si>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</si>
  <si>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</si>
  <si>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</si>
  <si>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</si>
  <si>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</si>
  <si>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</si>
  <si>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</si>
  <si>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</si>
  <si>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</si>
  <si>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</si>
  <si>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</si>
  <si>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</si>
  <si>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</si>
  <si>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</si>
  <si>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</si>
  <si>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</si>
  <si>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</si>
  <si>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</si>
  <si>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</si>
  <si>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</si>
  <si>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</si>
  <si>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</si>
  <si>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</si>
  <si>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</si>
  <si>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</si>
  <si>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</si>
  <si>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</si>
  <si>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</si>
  <si>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</si>
  <si>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</si>
  <si>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</si>
  <si>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</si>
  <si>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</si>
  <si>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</si>
  <si>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</si>
  <si>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</si>
  <si>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</si>
  <si>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</si>
  <si>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</si>
  <si>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</si>
  <si>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</si>
  <si>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</si>
  <si>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</si>
  <si>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</si>
  <si>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</si>
  <si>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</si>
  <si>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</si>
  <si>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</si>
  <si>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</si>
  <si>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</si>
  <si>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</si>
  <si>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</si>
  <si>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</si>
  <si>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</si>
  <si>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</si>
  <si>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</si>
  <si>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</si>
  <si>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</si>
  <si>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</si>
  <si>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</si>
  <si>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</si>
  <si>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</si>
  <si>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</si>
  <si>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</si>
  <si>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</si>
  <si>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</si>
  <si>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</si>
  <si>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</si>
  <si>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</si>
  <si>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</si>
  <si>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</si>
  <si>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</si>
  <si>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</si>
  <si>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</si>
  <si>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</si>
  <si>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</si>
  <si>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</si>
  <si>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</si>
  <si>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</si>
  <si>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</si>
  <si>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</si>
  <si>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</si>
  <si>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</si>
  <si>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</si>
  <si>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</si>
  <si>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</si>
  <si>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</si>
  <si>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</si>
  <si>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</si>
  <si>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</si>
  <si>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</si>
  <si>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</si>
  <si>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</si>
  <si>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</si>
  <si>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</si>
  <si>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</si>
  <si>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</si>
  <si>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</si>
  <si>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</si>
  <si>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</si>
  <si>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</si>
  <si>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</si>
  <si>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</si>
  <si>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</si>
  <si>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</si>
  <si>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</si>
  <si>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</si>
  <si>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</si>
  <si>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</si>
  <si>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</si>
  <si>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</si>
  <si>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</si>
  <si>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</si>
  <si>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</si>
  <si>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</si>
  <si>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</si>
  <si>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</si>
  <si>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</si>
  <si>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</si>
  <si>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</si>
  <si>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</si>
  <si>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</si>
  <si>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</si>
  <si>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</si>
  <si>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</si>
  <si>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</si>
  <si>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</si>
  <si>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</si>
  <si>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</si>
  <si>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</si>
  <si>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</si>
  <si>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</si>
  <si>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</si>
  <si>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</si>
  <si>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</si>
  <si>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</si>
  <si>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</si>
  <si>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</si>
  <si>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</si>
  <si>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</si>
  <si>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</si>
  <si>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</si>
  <si>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</si>
  <si>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</si>
  <si>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</si>
  <si>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</si>
  <si>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</si>
  <si>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</si>
  <si>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</si>
  <si>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</si>
  <si>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</si>
  <si>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</si>
  <si>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</si>
  <si>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</si>
  <si>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</si>
  <si>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</si>
  <si>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</si>
  <si>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</si>
  <si>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</si>
  <si>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</si>
  <si>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</si>
  <si>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</si>
  <si>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</si>
  <si>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</si>
  <si>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</si>
  <si>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</si>
  <si>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</si>
  <si>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</si>
  <si>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</si>
  <si>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</si>
  <si>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</si>
  <si>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</si>
  <si>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</si>
  <si>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</si>
  <si>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</si>
  <si>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</si>
  <si>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</si>
  <si>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</si>
  <si>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</si>
  <si>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</si>
  <si>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</si>
  <si>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</si>
  <si>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</si>
  <si>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</si>
  <si>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</si>
  <si>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</si>
  <si>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</si>
  <si>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</si>
  <si>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</si>
  <si>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</si>
  <si>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</si>
  <si>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</si>
  <si>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</si>
  <si>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</si>
  <si>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</si>
  <si>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</si>
  <si>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</si>
  <si>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</si>
  <si>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</si>
  <si>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</si>
  <si>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</si>
  <si>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</si>
  <si>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</si>
  <si>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</si>
  <si>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</si>
  <si>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</si>
  <si>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</si>
  <si>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</si>
  <si>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</si>
  <si>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</si>
  <si>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</si>
  <si>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</si>
  <si>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</si>
  <si>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</si>
  <si>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</si>
  <si>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</si>
  <si>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</si>
  <si>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</si>
  <si>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</si>
  <si>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</si>
  <si>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</si>
  <si>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</si>
  <si>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</si>
  <si>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</si>
  <si>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</si>
  <si>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</si>
  <si>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</si>
  <si>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</si>
  <si>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</si>
  <si>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</si>
  <si>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</si>
  <si>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</si>
  <si>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</si>
  <si>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</si>
  <si>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</si>
  <si>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</si>
  <si>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</si>
  <si>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</si>
  <si>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</si>
  <si>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</si>
  <si>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</si>
  <si>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</si>
  <si>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</si>
  <si>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</si>
  <si>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</si>
  <si>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</si>
  <si>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</si>
  <si>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</si>
  <si>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</si>
  <si>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</si>
  <si>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</si>
  <si>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</si>
  <si>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</si>
  <si>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</si>
  <si>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</si>
  <si>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</si>
  <si>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</si>
  <si>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</si>
  <si>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</si>
  <si>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</si>
  <si>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</si>
  <si>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</si>
  <si>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</si>
  <si>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</si>
  <si>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</si>
  <si>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</si>
  <si>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</si>
  <si>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</si>
  <si>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</si>
  <si>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</si>
  <si>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</si>
  <si>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</si>
  <si>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</si>
  <si>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</si>
  <si>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</si>
  <si>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</si>
  <si>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</si>
  <si>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</si>
  <si>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</si>
  <si>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</si>
  <si>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</si>
  <si>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</si>
  <si>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</si>
  <si>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</si>
  <si>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</si>
  <si>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</si>
  <si>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</si>
  <si>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</si>
  <si>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</si>
  <si>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</si>
  <si>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</si>
  <si>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</si>
  <si>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</si>
  <si>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</si>
  <si>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</si>
  <si>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</si>
  <si>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</si>
  <si>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</si>
  <si>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</si>
  <si>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</si>
  <si>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</si>
  <si>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</si>
  <si>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</si>
  <si>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</si>
  <si>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</si>
  <si>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</si>
  <si>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</si>
  <si>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</si>
  <si>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</si>
  <si>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</si>
  <si>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</si>
  <si>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</si>
  <si>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</si>
  <si>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</si>
  <si>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</si>
  <si>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</si>
  <si>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</si>
  <si>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</si>
  <si>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</si>
  <si>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</si>
  <si>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</si>
  <si>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</si>
  <si>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</si>
  <si>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</si>
  <si>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</si>
  <si>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</si>
  <si>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</si>
  <si>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</si>
  <si>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</si>
  <si>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</si>
  <si>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</si>
  <si>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</si>
  <si>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</si>
  <si>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</si>
  <si>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</si>
  <si>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</si>
  <si>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</si>
  <si>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</si>
  <si>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</si>
  <si>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</si>
  <si>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</si>
  <si>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</si>
  <si>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</si>
  <si>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</si>
  <si>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</si>
  <si>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</si>
  <si>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</si>
  <si>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</si>
  <si>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</si>
  <si>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</si>
  <si>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</si>
  <si>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</si>
  <si>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</si>
  <si>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</si>
  <si>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</si>
  <si>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</si>
  <si>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</si>
  <si>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</si>
  <si>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</si>
  <si>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</si>
  <si>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</si>
  <si>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</si>
  <si>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</si>
  <si>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</si>
  <si>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</si>
  <si>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</si>
  <si>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</si>
  <si>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</si>
  <si>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</si>
  <si>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</si>
  <si>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</si>
  <si>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</si>
  <si>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</si>
  <si>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</si>
  <si>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</si>
  <si>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</si>
  <si>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</si>
  <si>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</si>
  <si>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</si>
  <si>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</si>
  <si>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</si>
  <si>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</si>
  <si>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</si>
  <si>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</si>
  <si>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</si>
  <si>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</si>
  <si>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</si>
  <si>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</si>
  <si>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</si>
  <si>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</si>
  <si>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</si>
  <si>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</si>
  <si>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</si>
  <si>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</si>
  <si>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</si>
  <si>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</si>
  <si>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</si>
  <si>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</si>
  <si>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</si>
  <si>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</si>
  <si>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</si>
  <si>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</si>
  <si>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</si>
  <si>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</si>
  <si>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</si>
  <si>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</si>
  <si>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</si>
  <si>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</si>
  <si>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</si>
  <si>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</si>
  <si>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</si>
  <si>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</si>
  <si>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</si>
  <si>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</si>
  <si>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</si>
  <si>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</si>
  <si>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</si>
  <si>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</si>
  <si>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</si>
  <si>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</si>
  <si>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</si>
  <si>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</si>
  <si>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</si>
  <si>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</si>
  <si>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</si>
  <si>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</si>
  <si>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</si>
  <si>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</si>
  <si>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</si>
  <si>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</si>
  <si>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</si>
  <si>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</si>
  <si>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</si>
  <si>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</si>
  <si>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</si>
  <si>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</si>
  <si>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</si>
  <si>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</si>
  <si>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</si>
  <si>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</si>
  <si>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</si>
  <si>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</si>
  <si>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</si>
  <si>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</si>
  <si>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</si>
  <si>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</si>
  <si>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</si>
  <si>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</si>
  <si>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</si>
  <si>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</si>
  <si>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</si>
  <si>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</si>
  <si>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</si>
  <si>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</si>
  <si>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</si>
  <si>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</si>
  <si>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</si>
  <si>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</si>
  <si>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</si>
  <si>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</si>
  <si>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</si>
  <si>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</si>
  <si>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</si>
  <si>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</si>
  <si>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</si>
  <si>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</si>
  <si>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</si>
  <si>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</si>
  <si>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</si>
  <si>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</si>
  <si>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</si>
  <si>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</si>
  <si>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</si>
  <si>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</si>
  <si>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</si>
  <si>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</si>
  <si>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</si>
  <si>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</si>
  <si>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</si>
  <si>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</si>
  <si>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</si>
  <si>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</si>
  <si>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</si>
  <si>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</si>
  <si>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</si>
  <si>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</si>
  <si>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</si>
  <si>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</si>
  <si>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</si>
  <si>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</si>
  <si>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</si>
  <si>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</si>
  <si>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</si>
  <si>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</si>
  <si>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</si>
  <si>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</si>
  <si>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</si>
  <si>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</si>
  <si>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</si>
  <si>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</si>
  <si>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</si>
  <si>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</si>
  <si>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</si>
  <si>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</si>
  <si>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</si>
  <si>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</si>
  <si>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</si>
  <si>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</si>
  <si>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</si>
  <si>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</si>
  <si>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</si>
  <si>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</si>
  <si>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</si>
  <si>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</si>
  <si>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</si>
  <si>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</si>
  <si>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</si>
  <si>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</si>
  <si>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</si>
  <si>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</si>
  <si>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</si>
  <si>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</si>
  <si>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</si>
  <si>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</si>
  <si>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</si>
  <si>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</si>
  <si>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</si>
  <si>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</si>
  <si>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</si>
  <si>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</si>
  <si>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</si>
  <si>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</si>
  <si>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</si>
  <si>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</si>
  <si>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</si>
  <si>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</si>
  <si>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</si>
  <si>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</si>
  <si>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</si>
  <si>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</si>
  <si>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</si>
  <si>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</si>
  <si>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</si>
  <si>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</si>
  <si>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</si>
  <si>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</si>
  <si>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</si>
  <si>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</si>
  <si>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</si>
  <si>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</si>
  <si>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</si>
  <si>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</si>
  <si>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</si>
  <si>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</si>
  <si>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</si>
  <si>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</si>
  <si>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</si>
  <si>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</si>
  <si>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</si>
  <si>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</si>
  <si>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</si>
  <si>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</si>
  <si>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</si>
  <si>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</si>
  <si>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</si>
  <si>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</si>
  <si>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</si>
  <si>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</si>
  <si>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</si>
  <si>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</si>
  <si>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</si>
  <si>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</si>
  <si>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</si>
  <si>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</si>
  <si>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</si>
  <si>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</si>
  <si>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</si>
  <si>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</si>
  <si>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</si>
  <si>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</si>
  <si>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</si>
  <si>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</si>
  <si>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</si>
  <si>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</si>
  <si>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</si>
  <si>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</si>
  <si>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</si>
  <si>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</si>
  <si>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</si>
  <si>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</si>
  <si>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</si>
  <si>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</si>
  <si>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</si>
  <si>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</si>
  <si>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</si>
  <si>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</si>
  <si>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</si>
  <si>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</si>
  <si>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</si>
  <si>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</si>
  <si>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</si>
  <si>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</si>
  <si>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</si>
  <si>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</si>
  <si>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</si>
  <si>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</si>
  <si>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</si>
  <si>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</si>
  <si>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</si>
  <si>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</si>
  <si>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</si>
  <si>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</si>
  <si>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</si>
  <si>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</si>
  <si>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</si>
  <si>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</si>
  <si>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</si>
  <si>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</si>
  <si>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</si>
  <si>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</si>
  <si>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</si>
  <si>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</si>
  <si>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</si>
  <si>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</si>
  <si>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</si>
  <si>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</si>
  <si>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</si>
  <si>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</si>
  <si>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</si>
  <si>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</si>
  <si>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</si>
  <si>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</si>
  <si>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</si>
  <si>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</si>
  <si>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</si>
  <si>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</si>
  <si>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</si>
  <si>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</si>
  <si>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</si>
  <si>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</si>
  <si>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</si>
  <si>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</si>
  <si>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</si>
  <si>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</si>
  <si>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</si>
  <si>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</si>
  <si>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</si>
  <si>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</si>
  <si>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</si>
  <si>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</si>
  <si>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</si>
  <si>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</si>
  <si>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</si>
  <si>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</si>
  <si>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</si>
  <si>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</si>
  <si>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</si>
  <si>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</si>
  <si>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</si>
  <si>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</si>
  <si>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</si>
  <si>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</si>
  <si>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</si>
  <si>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</si>
  <si>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</si>
  <si>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</si>
  <si>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</si>
  <si>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</si>
  <si>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</si>
  <si>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</si>
  <si>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</si>
  <si>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</si>
  <si>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</si>
  <si>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</si>
  <si>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</si>
  <si>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</si>
  <si>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</si>
  <si>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</si>
  <si>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</si>
  <si>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</si>
  <si>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</si>
  <si>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</si>
  <si>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</si>
  <si>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</si>
  <si>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</si>
  <si>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</si>
  <si>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</si>
  <si>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</si>
  <si>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</si>
  <si>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</si>
  <si>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</si>
  <si>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</si>
  <si>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</si>
  <si>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</si>
  <si>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</si>
  <si>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</si>
  <si>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</si>
  <si>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</si>
  <si>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</si>
  <si>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</si>
  <si>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</si>
  <si>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</si>
  <si>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</si>
  <si>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</si>
  <si>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</si>
  <si>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</si>
  <si>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</si>
  <si>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</si>
  <si>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</si>
  <si>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</si>
  <si>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</si>
  <si>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</si>
  <si>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</si>
  <si>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</si>
  <si>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</si>
  <si>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</si>
  <si>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</si>
  <si>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</si>
  <si>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</si>
  <si>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</si>
  <si>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</si>
  <si>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</si>
  <si>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</si>
  <si>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</si>
  <si>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</si>
  <si>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</si>
  <si>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</si>
  <si>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</si>
  <si>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</si>
  <si>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</si>
  <si>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</si>
  <si>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</si>
  <si>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</si>
  <si>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</si>
  <si>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</si>
  <si>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</si>
  <si>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</si>
  <si>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</si>
  <si>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</si>
  <si>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</si>
  <si>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</si>
  <si>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</si>
  <si>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</si>
  <si>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</si>
  <si>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</si>
  <si>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</si>
  <si>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</si>
  <si>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</si>
  <si>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</si>
  <si>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</si>
  <si>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</si>
  <si>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</si>
  <si>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</si>
  <si>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</si>
  <si>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</si>
  <si>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</si>
  <si>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</si>
  <si>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</si>
  <si>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</si>
  <si>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</si>
  <si>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</si>
  <si>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</si>
  <si>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</si>
  <si>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</si>
  <si>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</si>
  <si>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</si>
  <si>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</si>
  <si>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</si>
  <si>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</si>
  <si>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</si>
  <si>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</si>
  <si>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</si>
  <si>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</si>
  <si>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</si>
  <si>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</si>
  <si>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</si>
  <si>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</si>
  <si>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</si>
  <si>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</si>
  <si>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</si>
  <si>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</si>
  <si>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</si>
  <si>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</si>
  <si>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</si>
  <si>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</si>
  <si>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</si>
  <si>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</si>
  <si>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</si>
  <si>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</si>
  <si>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</si>
  <si>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</si>
  <si>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</si>
  <si>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</si>
  <si>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</si>
  <si>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</si>
  <si>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</si>
  <si>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</si>
  <si>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</si>
  <si>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</si>
  <si>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</si>
  <si>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</si>
  <si>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</si>
  <si>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</si>
  <si>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</si>
  <si>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</si>
  <si>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</si>
  <si>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</si>
  <si>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</si>
  <si>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</si>
  <si>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</si>
  <si>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</si>
  <si>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</si>
  <si>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</si>
  <si>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</si>
  <si>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</si>
  <si>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</si>
  <si>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</si>
  <si>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</si>
  <si>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</si>
  <si>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</si>
  <si>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</si>
  <si>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</si>
  <si>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</si>
  <si>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</si>
  <si>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</si>
  <si>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</si>
  <si>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</si>
  <si>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</si>
  <si>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</si>
  <si>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</si>
  <si>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</si>
  <si>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</si>
  <si>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</si>
  <si>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</si>
  <si>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</si>
  <si>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</si>
  <si>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</si>
  <si>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</si>
  <si>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</si>
  <si>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</si>
  <si>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</si>
  <si>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</si>
  <si>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</si>
  <si>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</si>
  <si>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</si>
  <si>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</si>
  <si>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</si>
  <si>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</si>
  <si>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</si>
  <si>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</si>
  <si>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</si>
  <si>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</si>
  <si>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</si>
  <si>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</si>
  <si>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</si>
  <si>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</si>
  <si>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</si>
  <si>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</si>
  <si>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</si>
  <si>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</si>
  <si>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</si>
  <si>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</si>
  <si>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</si>
  <si>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</si>
  <si>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</si>
  <si>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</si>
  <si>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</si>
  <si>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</si>
  <si>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</si>
  <si>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</si>
  <si>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</si>
  <si>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</si>
  <si>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</si>
  <si>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</si>
  <si>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</si>
  <si>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</si>
  <si>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</si>
  <si>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</si>
  <si>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</si>
  <si>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</si>
  <si>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</si>
  <si>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</si>
  <si>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</si>
  <si>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</si>
  <si>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</si>
  <si>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</si>
  <si>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</si>
  <si>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</si>
  <si>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</si>
  <si>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</si>
  <si>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</si>
  <si>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</si>
  <si>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</si>
  <si>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</si>
  <si>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</si>
  <si>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</si>
  <si>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</si>
  <si>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</si>
  <si>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</si>
  <si>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</si>
  <si>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</si>
  <si>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</si>
  <si>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</si>
  <si>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</si>
  <si>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</si>
  <si>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</si>
  <si>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</si>
  <si>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</si>
  <si>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</si>
  <si>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</si>
  <si>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</si>
  <si>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</si>
  <si>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</si>
  <si>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</si>
  <si>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</si>
  <si>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</si>
  <si>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</si>
  <si>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</si>
  <si>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</si>
  <si>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</si>
  <si>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</si>
  <si>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</si>
  <si>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</si>
  <si>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</si>
  <si>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</si>
  <si>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</si>
  <si>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</si>
  <si>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</si>
  <si>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</si>
  <si>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</si>
  <si>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</si>
  <si>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</si>
  <si>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</si>
  <si>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</si>
  <si>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</si>
  <si>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</si>
  <si>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</si>
  <si>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</si>
  <si>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</si>
  <si>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</si>
  <si>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</si>
  <si>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</si>
  <si>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</si>
  <si>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</si>
  <si>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</si>
  <si>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</si>
  <si>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</si>
  <si>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</si>
  <si>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</si>
  <si>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</si>
  <si>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</si>
  <si>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</si>
  <si>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</si>
  <si>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</si>
  <si>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</si>
  <si>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</si>
  <si>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</si>
  <si>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</si>
  <si>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</si>
  <si>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</si>
  <si>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</si>
  <si>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</si>
  <si>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</si>
  <si>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</si>
  <si>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</si>
  <si>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</si>
  <si>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</si>
  <si>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</si>
  <si>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</si>
  <si>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</si>
  <si>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</si>
  <si>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</si>
  <si>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</si>
  <si>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</si>
  <si>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</si>
  <si>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</si>
  <si>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</si>
  <si>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</si>
  <si>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</si>
  <si>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</si>
  <si>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</si>
  <si>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</si>
  <si>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</si>
  <si>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</si>
  <si>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</si>
  <si>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</si>
  <si>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</si>
  <si>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</si>
  <si>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</si>
  <si>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</si>
  <si>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</si>
  <si>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</si>
  <si>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</si>
  <si>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</si>
  <si>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</si>
  <si>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</si>
  <si>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</si>
  <si>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</si>
  <si>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</si>
  <si>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</si>
  <si>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</si>
  <si>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</si>
  <si>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</si>
  <si>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</si>
  <si>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</si>
  <si>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</si>
  <si>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</si>
  <si>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</si>
  <si>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</si>
  <si>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</si>
  <si>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</si>
  <si>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</si>
  <si>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</si>
  <si>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</si>
  <si>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</si>
  <si>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</si>
  <si>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</si>
  <si>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</si>
  <si>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</si>
  <si>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</si>
  <si>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</si>
  <si>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</si>
  <si>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</si>
  <si>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</si>
  <si>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</si>
  <si>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</si>
  <si>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</si>
  <si>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</si>
  <si>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</si>
  <si>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</si>
  <si>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</si>
  <si>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</si>
  <si>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</si>
  <si>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</si>
  <si>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</si>
  <si>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</si>
  <si>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</si>
  <si>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</si>
  <si>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</si>
  <si>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</si>
  <si>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</si>
  <si>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</si>
  <si>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</si>
  <si>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</si>
  <si>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</si>
  <si>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</si>
  <si>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</si>
  <si>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</si>
  <si>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</si>
  <si>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</si>
  <si>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</si>
  <si>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</si>
  <si>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</si>
  <si>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</si>
  <si>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</si>
  <si>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</si>
  <si>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</si>
  <si>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</si>
  <si>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</si>
  <si>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</si>
  <si>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</si>
  <si>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</si>
  <si>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</si>
  <si>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</si>
  <si>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</si>
  <si>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</si>
  <si>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</si>
  <si>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</si>
  <si>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</si>
  <si>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</si>
  <si>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</si>
  <si>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</si>
  <si>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</si>
  <si>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</si>
  <si>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</si>
  <si>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</si>
  <si>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</si>
  <si>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</si>
  <si>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</si>
  <si>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</si>
  <si>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</si>
  <si>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</si>
  <si>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</si>
  <si>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</si>
  <si>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</si>
  <si>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</si>
  <si>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</si>
  <si>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</si>
  <si>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</si>
  <si>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</si>
  <si>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</si>
  <si>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</si>
  <si>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</si>
  <si>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</si>
  <si>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</si>
  <si>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</si>
  <si>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</si>
  <si>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</si>
  <si>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</si>
  <si>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</si>
  <si>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</si>
  <si>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</si>
  <si>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</si>
  <si>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</si>
  <si>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</si>
  <si>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</si>
  <si>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</si>
  <si>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</si>
  <si>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</si>
  <si>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</si>
  <si>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</si>
  <si>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</si>
  <si>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</si>
  <si>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</si>
  <si>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</si>
  <si>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</si>
  <si>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</si>
  <si>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</si>
  <si>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</si>
  <si>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</si>
  <si>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</si>
  <si>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</si>
  <si>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</si>
  <si>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</si>
  <si>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</si>
  <si>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</si>
  <si>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</si>
  <si>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</si>
  <si>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</si>
  <si>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</si>
  <si>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</si>
  <si>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</si>
  <si>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</si>
  <si>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</si>
  <si>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</si>
  <si>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</si>
  <si>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</si>
  <si>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</si>
  <si>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</si>
  <si>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</si>
  <si>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</si>
  <si>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</si>
  <si>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</si>
  <si>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</si>
  <si>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</si>
  <si>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</si>
  <si>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</si>
  <si>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</si>
  <si>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</si>
  <si>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</si>
  <si>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</si>
  <si>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</si>
  <si>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</si>
  <si>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</si>
  <si>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</si>
  <si>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</si>
  <si>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</si>
  <si>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</si>
  <si>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</si>
  <si>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</si>
  <si>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</si>
  <si>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</si>
  <si>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</si>
  <si>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</si>
  <si>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</si>
  <si>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</si>
  <si>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</si>
  <si>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</si>
  <si>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</si>
  <si>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</si>
  <si>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</si>
  <si>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</si>
  <si>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</si>
  <si>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</si>
  <si>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</si>
  <si>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</si>
  <si>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</si>
  <si>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</si>
  <si>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</si>
  <si>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</si>
  <si>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</si>
  <si>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</si>
  <si>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</si>
  <si>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</si>
  <si>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</si>
  <si>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</si>
  <si>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</si>
  <si>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</si>
  <si>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</si>
  <si>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</si>
  <si>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</si>
  <si>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</si>
  <si>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</si>
  <si>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</si>
  <si>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</si>
  <si>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</si>
  <si>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</si>
  <si>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</si>
  <si>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</si>
  <si>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</si>
  <si>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</si>
  <si>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</si>
  <si>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</si>
  <si>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</si>
  <si>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</si>
  <si>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</si>
  <si>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</si>
  <si>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</si>
  <si>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</si>
  <si>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</si>
  <si>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</si>
  <si>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</si>
  <si>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</si>
  <si>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</si>
  <si>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</si>
  <si>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</si>
  <si>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</si>
  <si>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</si>
  <si>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</si>
  <si>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</si>
  <si>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</si>
  <si>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</si>
  <si>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</si>
  <si>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</si>
  <si>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</si>
  <si>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</si>
  <si>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</si>
  <si>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</si>
  <si>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</si>
  <si>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</si>
  <si>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</si>
  <si>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</si>
  <si>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</si>
  <si>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</si>
  <si>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</si>
  <si>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</si>
  <si>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</si>
  <si>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</si>
  <si>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</si>
  <si>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</si>
  <si>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</si>
  <si>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</si>
  <si>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</si>
  <si>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</si>
  <si>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</si>
  <si>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</si>
  <si>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</si>
  <si>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</si>
  <si>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</si>
  <si>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</si>
  <si>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</si>
  <si>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</si>
  <si>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</si>
  <si>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</si>
  <si>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</si>
  <si>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</si>
  <si>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</si>
  <si>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</si>
  <si>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</si>
  <si>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</si>
  <si>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</si>
  <si>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</si>
  <si>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</si>
  <si>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</si>
  <si>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</si>
  <si>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</si>
  <si>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</si>
  <si>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</si>
  <si>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</si>
  <si>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</si>
  <si>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</si>
  <si>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</si>
  <si>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</si>
  <si>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</si>
  <si>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</si>
  <si>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</si>
  <si>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</si>
  <si>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</si>
  <si>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</si>
  <si>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</si>
  <si>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</si>
  <si>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</si>
  <si>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</si>
  <si>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</si>
  <si>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</si>
  <si>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</si>
  <si>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</si>
  <si>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</si>
  <si>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</si>
  <si>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</si>
  <si>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</si>
  <si>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</si>
  <si>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</si>
  <si>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</si>
  <si>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</si>
  <si>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</si>
  <si>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</si>
  <si>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</si>
  <si>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</si>
  <si>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</si>
  <si>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</si>
  <si>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</si>
  <si>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</si>
  <si>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</si>
  <si>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</si>
  <si>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</si>
  <si>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</si>
  <si>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</si>
  <si>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</si>
  <si>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</si>
  <si>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</si>
  <si>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</si>
  <si>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</si>
  <si>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</si>
  <si>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</si>
  <si>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</si>
  <si>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</si>
  <si>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</si>
  <si>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</si>
  <si>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</si>
  <si>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</si>
  <si>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</si>
  <si>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</si>
  <si>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</si>
  <si>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</si>
  <si>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</si>
  <si>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</si>
  <si>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</si>
  <si>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</si>
  <si>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</si>
  <si>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</si>
  <si>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</si>
  <si>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</si>
  <si>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</si>
  <si>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</si>
  <si>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</si>
  <si>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</si>
  <si>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</si>
  <si>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</si>
  <si>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</si>
  <si>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</si>
  <si>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</si>
  <si>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</si>
  <si>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</si>
  <si>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</si>
  <si>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</si>
  <si>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</si>
  <si>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</si>
  <si>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</si>
  <si>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</si>
  <si>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</si>
  <si>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</si>
  <si>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</si>
  <si>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</si>
  <si>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</si>
  <si>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</si>
  <si>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</si>
  <si>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</si>
  <si>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</si>
  <si>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</si>
  <si>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</si>
  <si>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</si>
  <si>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</si>
  <si>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</si>
  <si>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</si>
  <si>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</si>
  <si>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</si>
  <si>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</si>
  <si>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</si>
  <si>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</si>
  <si>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</si>
  <si>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</si>
  <si>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</si>
  <si>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</si>
  <si>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</si>
  <si>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</si>
  <si>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</si>
  <si>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</si>
  <si>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</si>
  <si>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</si>
  <si>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</si>
  <si>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</si>
  <si>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</si>
  <si>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</si>
  <si>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</si>
  <si>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</si>
  <si>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</si>
  <si>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</si>
  <si>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</si>
  <si>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</si>
  <si>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</si>
  <si>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</si>
  <si>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</si>
  <si>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</si>
  <si>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</si>
  <si>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</si>
  <si>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</si>
  <si>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</si>
  <si>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</si>
  <si>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</si>
  <si>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</si>
  <si>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</si>
  <si>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</si>
  <si>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</si>
  <si>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</si>
  <si>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</si>
  <si>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</si>
  <si>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</si>
  <si>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</si>
  <si>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</si>
  <si>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</si>
  <si>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</si>
  <si>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</si>
  <si>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</si>
  <si>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</si>
  <si>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</si>
  <si>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</si>
  <si>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</si>
  <si>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</si>
  <si>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</si>
  <si>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</si>
  <si>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</si>
  <si>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</si>
  <si>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</si>
  <si>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</si>
  <si>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</si>
  <si>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</si>
  <si>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</si>
  <si>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</si>
  <si>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</si>
  <si>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</si>
  <si>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</si>
  <si>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</si>
  <si>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</si>
  <si>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</si>
  <si>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</si>
  <si>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</si>
  <si>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</si>
  <si>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</si>
  <si>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</si>
  <si>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</si>
  <si>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</si>
  <si>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</si>
  <si>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</si>
  <si>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</si>
  <si>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</si>
  <si>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</si>
  <si>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</si>
  <si>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</si>
  <si>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</si>
  <si>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</si>
  <si>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</si>
  <si>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</si>
  <si>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</si>
  <si>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</si>
  <si>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</si>
  <si>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</si>
  <si>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</si>
  <si>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</si>
  <si>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</si>
  <si>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</si>
  <si>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</si>
  <si>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</si>
  <si>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</si>
  <si>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</si>
  <si>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</si>
  <si>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</si>
  <si>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</si>
  <si>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</si>
  <si>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</si>
  <si>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</si>
  <si>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</si>
  <si>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</si>
  <si>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</si>
  <si>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</si>
  <si>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</si>
  <si>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</si>
  <si>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</si>
  <si>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</si>
  <si>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</si>
  <si>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</si>
  <si>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</si>
  <si>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</si>
  <si>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</si>
  <si>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</si>
  <si>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</si>
  <si>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</si>
  <si>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</si>
  <si>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</si>
  <si>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</si>
  <si>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</si>
  <si>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</si>
  <si>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</si>
  <si>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</si>
  <si>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</si>
  <si>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</si>
  <si>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</si>
  <si>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</si>
  <si>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</si>
  <si>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</si>
  <si>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</si>
  <si>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</si>
  <si>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</si>
  <si>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</si>
  <si>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</si>
  <si>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</si>
  <si>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</si>
  <si>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</si>
  <si>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</si>
  <si>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</si>
  <si>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</si>
  <si>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</si>
  <si>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</si>
  <si>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</si>
  <si>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</si>
  <si>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</si>
  <si>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</si>
  <si>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</si>
  <si>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</si>
  <si>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</si>
  <si>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</si>
  <si>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</si>
  <si>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</si>
  <si>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</si>
  <si>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</si>
  <si>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</si>
  <si>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</si>
  <si>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</si>
  <si>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</si>
  <si>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</si>
  <si>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</si>
  <si>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</si>
  <si>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</si>
  <si>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</si>
  <si>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</si>
  <si>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</si>
  <si>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</si>
  <si>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</si>
  <si>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</si>
  <si>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</si>
  <si>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</si>
  <si>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</si>
  <si>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</si>
  <si>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</si>
  <si>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</si>
  <si>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</si>
  <si>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</si>
  <si>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</si>
  <si>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</si>
  <si>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</si>
  <si>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</si>
  <si>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</si>
  <si>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</si>
  <si>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</si>
  <si>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</si>
  <si>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</si>
  <si>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</si>
  <si>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</si>
  <si>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</si>
  <si>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</si>
  <si>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</si>
  <si>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</si>
  <si>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</si>
  <si>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</si>
  <si>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</si>
  <si>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</si>
  <si>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</si>
  <si>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</si>
  <si>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</si>
  <si>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</si>
  <si>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</si>
  <si>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</si>
  <si>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</si>
  <si>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</si>
  <si>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</si>
  <si>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</si>
  <si>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</si>
  <si>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</si>
  <si>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</si>
  <si>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</si>
  <si>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</si>
  <si>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</si>
  <si>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</si>
  <si>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</si>
  <si>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</si>
  <si>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</si>
  <si>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</si>
  <si>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</si>
  <si>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</si>
  <si>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</si>
  <si>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</si>
  <si>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</si>
  <si>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</si>
  <si>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</si>
  <si>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</si>
  <si>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</si>
  <si>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</si>
  <si>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</si>
  <si>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</si>
  <si>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</si>
  <si>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</si>
  <si>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</si>
  <si>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</si>
  <si>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</si>
  <si>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</si>
  <si>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</si>
  <si>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</si>
  <si>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</si>
  <si>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</si>
  <si>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</si>
  <si>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</si>
  <si>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</si>
  <si>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</si>
  <si>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</si>
  <si>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</si>
  <si>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</si>
  <si>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</si>
  <si>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</si>
  <si>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</si>
  <si>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</si>
  <si>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</si>
  <si>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</si>
  <si>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</si>
  <si>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</si>
  <si>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</si>
  <si>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</si>
  <si>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</si>
  <si>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</si>
  <si>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</si>
  <si>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</si>
  <si>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</si>
  <si>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</si>
  <si>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</si>
  <si>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</si>
  <si>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</si>
  <si>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</si>
  <si>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</si>
  <si>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</si>
  <si>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</si>
  <si>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</si>
  <si>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</si>
  <si>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</si>
  <si>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</si>
  <si>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</si>
  <si>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</si>
  <si>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</si>
  <si>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</si>
  <si>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</si>
  <si>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</si>
  <si>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</si>
  <si>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</si>
  <si>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</si>
  <si>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</si>
  <si>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</si>
  <si>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</si>
  <si>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</si>
  <si>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</si>
  <si>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</si>
  <si>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</si>
  <si>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</si>
  <si>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</si>
  <si>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</si>
  <si>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</si>
  <si>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</si>
  <si>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</si>
  <si>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</si>
  <si>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</si>
  <si>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</si>
  <si>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</si>
  <si>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</si>
  <si>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</si>
  <si>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</si>
  <si>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</si>
  <si>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</si>
  <si>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</si>
  <si>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</si>
  <si>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</si>
  <si>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</si>
  <si>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</si>
  <si>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</si>
  <si>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</si>
  <si>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</si>
  <si>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</si>
  <si>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</si>
  <si>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</si>
  <si>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</si>
  <si>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</si>
  <si>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</si>
  <si>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</si>
  <si>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</si>
  <si>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</si>
  <si>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</si>
  <si>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</si>
  <si>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</si>
  <si>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</si>
  <si>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</si>
  <si>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</si>
  <si>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</si>
  <si>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</si>
  <si>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</si>
  <si>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</si>
  <si>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</si>
  <si>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</si>
  <si>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</si>
  <si>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</si>
  <si>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</si>
  <si>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</si>
  <si>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</si>
  <si>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</si>
  <si>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</si>
  <si>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</si>
  <si>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</si>
  <si>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</si>
  <si>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</si>
  <si>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</si>
  <si>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</si>
  <si>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</si>
  <si>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</si>
  <si>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</si>
  <si>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</si>
  <si>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</si>
  <si>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</si>
  <si>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</si>
  <si>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</si>
  <si>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</si>
  <si>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</si>
  <si>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</si>
  <si>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</si>
  <si>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</si>
  <si>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</si>
  <si>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</si>
  <si>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</si>
  <si>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</si>
  <si>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</si>
  <si>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</si>
  <si>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</si>
  <si>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</si>
  <si>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</si>
  <si>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</si>
  <si>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</si>
  <si>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</si>
  <si>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</si>
  <si>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</si>
  <si>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</si>
  <si>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</si>
  <si>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</si>
  <si>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</si>
  <si>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</si>
  <si>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</si>
  <si>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</si>
  <si>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</si>
  <si>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</si>
  <si>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</si>
  <si>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</si>
  <si>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</si>
  <si>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</si>
  <si>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</si>
  <si>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</si>
  <si>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</si>
  <si>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</si>
  <si>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</si>
  <si>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</si>
  <si>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</si>
  <si>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</si>
  <si>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</si>
  <si>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</si>
  <si>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</si>
  <si>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</si>
  <si>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</si>
  <si>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</si>
  <si>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</si>
  <si>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</si>
  <si>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</si>
  <si>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</si>
  <si>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</si>
  <si>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</si>
  <si>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</si>
  <si>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</si>
  <si>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</si>
  <si>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</si>
  <si>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</si>
  <si>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</si>
  <si>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</si>
  <si>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</si>
  <si>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</si>
  <si>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</si>
  <si>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</si>
  <si>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</si>
  <si>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</si>
  <si>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</si>
  <si>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</si>
  <si>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</si>
  <si>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</si>
  <si>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</si>
  <si>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</si>
  <si>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</si>
  <si>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</si>
  <si>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</si>
  <si>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</si>
  <si>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</si>
  <si>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</si>
  <si>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</si>
  <si>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</si>
  <si>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</si>
  <si>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</si>
  <si>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</si>
  <si>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</si>
  <si>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</si>
  <si>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</si>
  <si>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</si>
  <si>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</si>
  <si>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</si>
  <si>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</si>
  <si>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</si>
  <si>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</si>
  <si>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</si>
  <si>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</si>
  <si>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</si>
  <si>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</si>
  <si>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</si>
  <si>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</si>
  <si>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</si>
  <si>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</si>
  <si>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</si>
  <si>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</si>
  <si>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</si>
  <si>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</si>
  <si>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</si>
  <si>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</si>
  <si>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</si>
  <si>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</si>
  <si>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</si>
  <si>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</si>
  <si>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</si>
  <si>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</si>
  <si>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</si>
  <si>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</si>
  <si>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</si>
  <si>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</si>
  <si>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</si>
  <si>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</si>
  <si>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</si>
  <si>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</si>
  <si>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</si>
  <si>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</si>
  <si>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</si>
  <si>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</si>
  <si>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</si>
  <si>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</si>
  <si>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</si>
  <si>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</si>
  <si>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</si>
  <si>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</si>
  <si>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</si>
  <si>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</si>
  <si>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</si>
  <si>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</si>
  <si>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</si>
  <si>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</si>
  <si>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</si>
  <si>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</si>
  <si>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</si>
  <si>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</si>
  <si>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</si>
  <si>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</si>
  <si>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</si>
  <si>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</si>
  <si>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</si>
  <si>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</si>
  <si>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</si>
  <si>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</si>
  <si>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</si>
  <si>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</si>
  <si>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</si>
  <si>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</si>
  <si>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</si>
  <si>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</si>
  <si>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</si>
  <si>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</si>
  <si>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</si>
  <si>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</si>
  <si>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</si>
  <si>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</si>
  <si>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</si>
  <si>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</si>
  <si>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</si>
  <si>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</si>
  <si>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</si>
  <si>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</si>
  <si>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</si>
  <si>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</si>
  <si>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</si>
  <si>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</si>
  <si>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</si>
  <si>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</si>
  <si>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</si>
  <si>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</si>
  <si>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</si>
  <si>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</si>
  <si>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</si>
  <si>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</si>
  <si>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</si>
  <si>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</si>
  <si>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</si>
  <si>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</si>
  <si>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</si>
  <si>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</si>
  <si>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</si>
  <si>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</si>
  <si>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</si>
  <si>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</si>
  <si>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</si>
  <si>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</si>
  <si>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</si>
  <si>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</si>
  <si>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</si>
  <si>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</si>
  <si>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</si>
  <si>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</si>
  <si>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</si>
  <si>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</si>
  <si>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</si>
  <si>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</si>
  <si>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</si>
  <si>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</si>
  <si>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</si>
  <si>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</si>
  <si>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</si>
  <si>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</si>
  <si>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</si>
  <si>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</si>
  <si>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</si>
  <si>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</si>
  <si>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</si>
  <si>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</si>
  <si>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</si>
  <si>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</si>
  <si>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</si>
  <si>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</si>
  <si>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</si>
  <si>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</si>
  <si>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</si>
  <si>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</si>
  <si>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</si>
  <si>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</si>
  <si>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</si>
  <si>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</si>
  <si>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</si>
  <si>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</si>
  <si>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</si>
  <si>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</si>
  <si>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</si>
  <si>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</si>
  <si>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</si>
  <si>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</si>
  <si>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</si>
  <si>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</si>
  <si>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</si>
  <si>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</si>
  <si>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</si>
  <si>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</si>
  <si>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</si>
  <si>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</si>
  <si>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</si>
  <si>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</si>
  <si>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</si>
  <si>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</si>
  <si>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</si>
  <si>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</si>
  <si>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</si>
  <si>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</si>
  <si>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</si>
  <si>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</si>
  <si>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</si>
  <si>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</si>
  <si>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</si>
  <si>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</si>
  <si>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</si>
  <si>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</si>
  <si>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</si>
  <si>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</si>
  <si>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</si>
  <si>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</si>
  <si>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</si>
  <si>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</si>
  <si>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</si>
  <si>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</si>
  <si>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</si>
  <si>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</si>
  <si>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</si>
  <si>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</si>
  <si>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</si>
  <si>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</si>
  <si>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</si>
  <si>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</si>
  <si>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</si>
  <si>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</si>
  <si>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</si>
  <si>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</si>
  <si>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</si>
  <si>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</si>
  <si>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</si>
  <si>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</si>
  <si>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</si>
  <si>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</si>
  <si>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</si>
  <si>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</si>
  <si>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</si>
  <si>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</si>
  <si>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</si>
  <si>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</si>
  <si>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</si>
  <si>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</si>
  <si>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</si>
  <si>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</si>
  <si>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</si>
  <si>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</si>
  <si>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</si>
  <si>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</si>
  <si>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</si>
  <si>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</si>
  <si>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</si>
  <si>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</si>
  <si>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</si>
  <si>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</si>
  <si>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</si>
  <si>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</si>
  <si>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</si>
  <si>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</si>
  <si>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</si>
  <si>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</si>
  <si>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</si>
  <si>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</si>
  <si>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</si>
  <si>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</si>
  <si>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</si>
  <si>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</si>
  <si>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</si>
  <si>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</si>
  <si>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</si>
  <si>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</si>
  <si>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</si>
  <si>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</si>
  <si>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</si>
  <si>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</si>
  <si>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</si>
  <si>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</si>
  <si>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</si>
  <si>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</si>
  <si>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</si>
  <si>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</si>
  <si>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</si>
  <si>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</si>
  <si>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</si>
  <si>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</si>
  <si>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</si>
  <si>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</si>
  <si>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</si>
  <si>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</si>
  <si>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</si>
  <si>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</si>
  <si>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</si>
  <si>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</si>
  <si>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</si>
  <si>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</si>
  <si>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</si>
  <si>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</si>
  <si>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</si>
  <si>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</si>
  <si>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</si>
  <si>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</si>
  <si>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</si>
  <si>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</si>
  <si>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</si>
  <si>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</si>
  <si>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</si>
  <si>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</si>
  <si>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</si>
  <si>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</si>
  <si>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</si>
  <si>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</si>
  <si>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</si>
  <si>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</si>
  <si>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</si>
  <si>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</si>
  <si>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</si>
  <si>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</si>
  <si>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</si>
  <si>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</si>
  <si>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</si>
  <si>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</si>
  <si>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</si>
  <si>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</si>
  <si>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</si>
  <si>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</si>
  <si>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</si>
  <si>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</si>
  <si>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</si>
  <si>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</si>
  <si>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</si>
  <si>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</si>
  <si>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</si>
  <si>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</si>
  <si>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</si>
  <si>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</si>
  <si>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</si>
  <si>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</si>
  <si>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</si>
  <si>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</si>
  <si>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</si>
  <si>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</si>
  <si>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</si>
  <si>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</si>
  <si>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</si>
  <si>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</si>
  <si>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</si>
  <si>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</si>
  <si>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</si>
  <si>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</si>
  <si>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</si>
  <si>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</si>
  <si>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</si>
  <si>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</si>
  <si>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</si>
  <si>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</si>
  <si>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</si>
  <si>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</si>
  <si>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</si>
  <si>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</si>
  <si>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</si>
  <si>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</si>
  <si>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</si>
  <si>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</si>
  <si>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</si>
  <si>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</si>
  <si>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</si>
  <si>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</si>
  <si>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</si>
  <si>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</si>
  <si>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</si>
  <si>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</si>
  <si>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</si>
  <si>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</si>
  <si>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</si>
  <si>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</si>
  <si>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</si>
  <si>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</si>
  <si>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</si>
  <si>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</si>
  <si>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</si>
  <si>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</si>
  <si>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</si>
  <si>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</si>
  <si>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</si>
  <si>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</si>
  <si>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</si>
  <si>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</si>
  <si>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</si>
  <si>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</si>
  <si>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</si>
  <si>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</si>
  <si>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</si>
  <si>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</si>
  <si>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</si>
  <si>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</si>
  <si>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</si>
  <si>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</si>
  <si>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</si>
  <si>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</si>
  <si>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</si>
  <si>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</si>
  <si>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</si>
  <si>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</si>
  <si>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</si>
  <si>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</si>
  <si>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</si>
  <si>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</si>
  <si>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</si>
  <si>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</si>
  <si>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</si>
  <si>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</si>
  <si>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</si>
  <si>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</si>
  <si>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</si>
  <si>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</si>
  <si>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</si>
  <si>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</si>
  <si>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</si>
  <si>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</si>
  <si>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</si>
  <si>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</si>
  <si>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</si>
  <si>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</si>
  <si>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</si>
  <si>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</si>
  <si>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</si>
  <si>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</si>
  <si>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</si>
  <si>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</si>
  <si>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</si>
  <si>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</si>
  <si>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</si>
  <si>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</si>
  <si>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</si>
  <si>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</si>
  <si>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</si>
  <si>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</si>
  <si>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</si>
  <si>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</si>
  <si>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</si>
  <si>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</si>
  <si>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</si>
  <si>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</si>
  <si>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</si>
  <si>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</si>
  <si>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</si>
  <si>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</si>
  <si>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</si>
  <si>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</si>
  <si>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</si>
  <si>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</si>
  <si>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</si>
  <si>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</si>
  <si>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</si>
  <si>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</si>
  <si>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</si>
  <si>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</si>
  <si>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</si>
  <si>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</si>
  <si>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</si>
  <si>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</si>
  <si>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</si>
  <si>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</si>
  <si>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</si>
  <si>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</si>
  <si>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</si>
  <si>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</si>
  <si>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</si>
  <si>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</si>
  <si>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</si>
  <si>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</si>
  <si>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</si>
  <si>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</si>
  <si>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</si>
  <si>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</si>
  <si>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</si>
  <si>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</si>
  <si>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</si>
  <si>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</si>
  <si>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</si>
  <si>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</si>
  <si>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</si>
  <si>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</si>
  <si>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</si>
  <si>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</si>
  <si>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</si>
  <si>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</si>
  <si>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</si>
  <si>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</si>
  <si>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</si>
  <si>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</si>
  <si>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</si>
  <si>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</si>
  <si>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</si>
  <si>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</si>
  <si>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</si>
  <si>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</si>
  <si>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</si>
  <si>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</si>
  <si>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</si>
  <si>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</si>
  <si>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</si>
  <si>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</si>
  <si>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</si>
  <si>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</si>
  <si>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</si>
  <si>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</si>
  <si>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</si>
  <si>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</si>
  <si>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</si>
  <si>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</si>
  <si>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</si>
  <si>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</si>
  <si>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</si>
  <si>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</si>
  <si>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</si>
  <si>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</si>
  <si>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</si>
  <si>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</si>
  <si>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</si>
  <si>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</si>
  <si>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</si>
  <si>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</si>
  <si>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</si>
  <si>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</si>
  <si>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</si>
  <si>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</si>
  <si>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</si>
  <si>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</si>
  <si>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</si>
  <si>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</si>
  <si>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</si>
  <si>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</si>
  <si>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</si>
  <si>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</si>
  <si>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</si>
  <si>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</si>
  <si>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</si>
  <si>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</si>
  <si>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</si>
  <si>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</si>
  <si>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</si>
  <si>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</si>
  <si>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</si>
  <si>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</si>
  <si>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</si>
  <si>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</si>
  <si>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</si>
  <si>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</si>
  <si>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</si>
  <si>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</si>
  <si>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</si>
  <si>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</si>
  <si>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</si>
  <si>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</si>
  <si>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</si>
  <si>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</si>
  <si>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</si>
  <si>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</si>
  <si>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</si>
  <si>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</si>
  <si>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</si>
  <si>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</si>
  <si>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</si>
  <si>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</si>
  <si>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</si>
  <si>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</si>
  <si>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</si>
  <si>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</si>
  <si>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</si>
  <si>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</si>
  <si>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</si>
  <si>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</si>
  <si>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</si>
  <si>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</si>
  <si>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</si>
  <si>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</si>
  <si>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</si>
  <si>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</si>
  <si>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</si>
  <si>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</si>
  <si>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</si>
  <si>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</si>
  <si>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</si>
  <si>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</si>
  <si>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</si>
  <si>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</si>
  <si>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</si>
  <si>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</si>
  <si>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</si>
  <si>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</si>
  <si>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</si>
  <si>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</si>
  <si>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</si>
  <si>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</si>
  <si>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</si>
  <si>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</si>
  <si>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</si>
  <si>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</si>
  <si>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</si>
  <si>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</si>
  <si>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</si>
  <si>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</si>
  <si>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</si>
  <si>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</si>
  <si>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</si>
  <si>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</si>
  <si>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</si>
  <si>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</si>
  <si>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</si>
  <si>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</si>
  <si>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</si>
  <si>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</si>
  <si>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</si>
  <si>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</si>
  <si>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</si>
  <si>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</si>
  <si>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</si>
  <si>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</si>
  <si>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</si>
  <si>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</si>
  <si>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</si>
  <si>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</si>
  <si>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</si>
  <si>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</si>
  <si>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</si>
  <si>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</si>
  <si>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</si>
  <si>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</si>
  <si>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</si>
  <si>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</si>
  <si>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</si>
  <si>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</si>
  <si>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</si>
  <si>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</si>
  <si>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</si>
  <si>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</si>
  <si>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</si>
  <si>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</si>
  <si>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</si>
  <si>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</si>
  <si>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</si>
  <si>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</si>
  <si>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</si>
  <si>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</si>
  <si>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</si>
  <si>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</si>
  <si>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</si>
  <si>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</si>
  <si>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</si>
  <si>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</si>
  <si>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</si>
  <si>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</si>
  <si>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</si>
  <si>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</si>
  <si>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</si>
  <si>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</si>
  <si>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</si>
  <si>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</si>
  <si>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</si>
  <si>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</si>
  <si>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</si>
  <si>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</si>
  <si>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</si>
  <si>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</si>
  <si>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</si>
  <si>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</si>
  <si>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</si>
  <si>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</si>
  <si>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</si>
  <si>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</si>
  <si>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</si>
  <si>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</si>
  <si>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</si>
  <si>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</si>
  <si>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</si>
  <si>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</si>
  <si>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</si>
  <si>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</si>
  <si>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</si>
  <si>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</si>
  <si>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</si>
  <si>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</si>
  <si>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</si>
  <si>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</si>
  <si>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</si>
  <si>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</si>
  <si>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</si>
  <si>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</si>
  <si>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</si>
  <si>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</si>
  <si>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</si>
  <si>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</si>
  <si>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</si>
  <si>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</si>
  <si>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</si>
  <si>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</si>
  <si>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</si>
  <si>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</si>
  <si>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</si>
  <si>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</si>
  <si>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</si>
  <si>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</si>
  <si>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</si>
  <si>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</si>
  <si>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</si>
  <si>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</si>
  <si>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</si>
  <si>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</si>
  <si>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</si>
  <si>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</si>
  <si>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</si>
  <si>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</si>
  <si>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</si>
  <si>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</si>
  <si>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</si>
  <si>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</si>
  <si>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</si>
  <si>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</si>
  <si>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</si>
  <si>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</si>
  <si>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</si>
  <si>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</si>
  <si>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</si>
  <si>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</si>
  <si>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</si>
  <si>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</si>
  <si>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</si>
  <si>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</si>
  <si>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</si>
  <si>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</si>
  <si>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</si>
  <si>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</si>
  <si>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</si>
  <si>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</si>
  <si>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</si>
  <si>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</si>
  <si>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</si>
  <si>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</si>
  <si>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</si>
  <si>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</si>
  <si>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</si>
  <si>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</si>
  <si>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</si>
  <si>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</si>
  <si>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</si>
  <si>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</si>
  <si>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</si>
  <si>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</si>
  <si>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</si>
  <si>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</si>
  <si>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</si>
  <si>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</si>
  <si>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</si>
  <si>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</si>
  <si>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</si>
  <si>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</si>
  <si>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</si>
  <si>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</si>
  <si>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</si>
  <si>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</si>
  <si>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</si>
  <si>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</si>
  <si>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</si>
  <si>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</si>
  <si>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</si>
  <si>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</si>
  <si>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</si>
  <si>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</si>
  <si>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</si>
  <si>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</si>
  <si>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</si>
  <si>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</si>
  <si>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</si>
  <si>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</si>
  <si>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</si>
  <si>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</si>
  <si>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</si>
  <si>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</si>
  <si>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</si>
  <si>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</si>
  <si>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</si>
  <si>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</si>
  <si>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</si>
  <si>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</si>
  <si>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</si>
  <si>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</si>
  <si>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</si>
  <si>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</si>
  <si>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</si>
  <si>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</si>
  <si>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</si>
  <si>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</si>
  <si>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</si>
  <si>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</si>
  <si>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</si>
  <si>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</si>
  <si>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</si>
  <si>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</si>
  <si>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</si>
  <si>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</si>
  <si>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</si>
  <si>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</si>
  <si>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</si>
  <si>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</si>
  <si>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</si>
  <si>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3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</si>
  <si>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</si>
  <si>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3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</si>
  <si>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</si>
  <si>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</si>
  <si>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</si>
  <si>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</si>
  <si>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3" type="noConversion"/>
  </si>
  <si>
    <t>Longitude:</t>
    <phoneticPr fontId="13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</si>
  <si>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</si>
  <si>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</si>
  <si>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</si>
  <si>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</si>
  <si>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</si>
  <si>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</si>
  <si>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</si>
  <si>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3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</si>
  <si>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</si>
  <si>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</si>
  <si>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</si>
  <si>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</si>
  <si>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</si>
  <si>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3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</si>
  <si>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</si>
  <si>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</si>
  <si>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</si>
  <si>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</si>
  <si>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</si>
  <si>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</si>
  <si>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</si>
  <si>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</si>
  <si>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</si>
  <si>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</si>
  <si>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</si>
  <si>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</si>
  <si>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</si>
  <si>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</si>
  <si>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</si>
  <si>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</si>
  <si>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</si>
  <si>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</si>
  <si>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</si>
  <si>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</si>
  <si>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</si>
  <si>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</si>
  <si>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</si>
  <si>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</si>
  <si>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</si>
  <si>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</si>
  <si>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</si>
  <si>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</si>
  <si>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</si>
  <si>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</si>
  <si>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</si>
  <si>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</si>
  <si>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</si>
  <si>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</si>
  <si>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</si>
  <si>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</si>
  <si>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</si>
  <si>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</si>
  <si>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</si>
  <si>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</si>
  <si>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</si>
  <si>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</si>
  <si>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</si>
  <si>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</si>
  <si>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</si>
  <si>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</si>
  <si>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</si>
  <si>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</si>
  <si>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</si>
  <si>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</si>
  <si>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</si>
  <si>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</si>
  <si>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</si>
  <si>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</si>
  <si>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</si>
  <si>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</si>
  <si>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</si>
  <si>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</si>
  <si>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</si>
  <si>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</si>
  <si>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</si>
  <si>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</si>
  <si>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LHHL 1</t>
  </si>
  <si>
    <t>Rubus sp.</t>
  </si>
  <si>
    <t>Exotic honeysuckle spp.</t>
  </si>
  <si>
    <t>Symphyotrichum sp.</t>
  </si>
  <si>
    <t>Iris sp.</t>
  </si>
  <si>
    <t>Pilea sp.</t>
  </si>
  <si>
    <t>Agalinis sp.</t>
  </si>
  <si>
    <t>Bidens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</si>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</sst>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6" fillId="0" borderId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19" applyNumberFormat="0" applyAlignment="0" applyProtection="0"/>
    <xf numFmtId="0" fontId="29" fillId="6" borderId="20" applyNumberFormat="0" applyAlignment="0" applyProtection="0"/>
    <xf numFmtId="0" fontId="30" fillId="6" borderId="19" applyNumberFormat="0" applyAlignment="0" applyProtection="0"/>
    <xf numFmtId="0" fontId="31" fillId="0" borderId="21" applyNumberFormat="0" applyFill="0" applyAlignment="0" applyProtection="0"/>
    <xf numFmtId="0" fontId="32" fillId="7" borderId="22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4" applyNumberFormat="0" applyFill="0" applyAlignment="0" applyProtection="0"/>
    <xf numFmtId="0" fontId="36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36" fillId="32" borderId="0" applyNumberFormat="0" applyBorder="0" applyAlignment="0" applyProtection="0"/>
    <xf numFmtId="0" fontId="38" fillId="0" borderId="0"/>
    <xf numFmtId="0" fontId="16" fillId="0" borderId="0"/>
    <xf numFmtId="0" fontId="10" fillId="0" borderId="0"/>
    <xf numFmtId="0" fontId="10" fillId="8" borderId="23" applyNumberFormat="0" applyFont="0" applyAlignment="0" applyProtection="0"/>
    <xf numFmtId="0" fontId="9" fillId="0" borderId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43" fillId="0" borderId="0"/>
    <xf numFmtId="0" fontId="9" fillId="0" borderId="0"/>
    <xf numFmtId="0" fontId="9" fillId="8" borderId="23" applyNumberFormat="0" applyFont="0" applyAlignment="0" applyProtection="0"/>
    <xf numFmtId="0" fontId="16" fillId="0" borderId="0"/>
  </cellStyleXfs>
  <cellXfs count="154">
    <xf numFmtId="0" fontId="0" fillId="0" borderId="0" xfId="0"/>
    <xf numFmtId="0" fontId="11" fillId="0" borderId="0" xfId="0" applyFont="1"/>
    <xf numFmtId="0" fontId="14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2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6" fillId="0" borderId="0" xfId="0" applyFont="1"/>
    <xf numFmtId="0" fontId="16" fillId="0" borderId="0" xfId="1"/>
    <xf numFmtId="0" fontId="15" fillId="0" borderId="0" xfId="1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2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6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2" fillId="0" borderId="0" xfId="0" applyFont="1" applyFill="1" applyBorder="1" applyAlignment="1">
      <alignment horizontal="center"/>
    </xf>
    <xf numFmtId="14" fontId="16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vertical="center"/>
    </xf>
    <xf numFmtId="0" fontId="16" fillId="0" borderId="0" xfId="0" applyFont="1" applyAlignment="1"/>
    <xf numFmtId="0" fontId="0" fillId="0" borderId="0" xfId="0" applyBorder="1"/>
    <xf numFmtId="0" fontId="11" fillId="0" borderId="15" xfId="0" applyFont="1" applyBorder="1"/>
    <xf numFmtId="0" fontId="0" fillId="0" borderId="0" xfId="0"/>
    <xf numFmtId="0" fontId="0" fillId="0" borderId="0" xfId="0"/>
    <xf numFmtId="0" fontId="37" fillId="0" borderId="25" xfId="0" applyFont="1" applyBorder="1"/>
    <xf numFmtId="0" fontId="37" fillId="0" borderId="25" xfId="0" applyFont="1" applyFill="1" applyBorder="1"/>
    <xf numFmtId="0" fontId="37" fillId="0" borderId="25" xfId="0" applyNumberFormat="1" applyFont="1" applyBorder="1"/>
    <xf numFmtId="0" fontId="38" fillId="0" borderId="0" xfId="0" applyFont="1" applyFill="1"/>
    <xf numFmtId="0" fontId="0" fillId="0" borderId="0" xfId="0" quotePrefix="1" applyNumberFormat="1"/>
    <xf numFmtId="0" fontId="38" fillId="0" borderId="0" xfId="0" quotePrefix="1" applyNumberFormat="1" applyFont="1"/>
    <xf numFmtId="0" fontId="0" fillId="0" borderId="0" xfId="0" applyNumberFormat="1"/>
    <xf numFmtId="0" fontId="38" fillId="0" borderId="0" xfId="0" applyFont="1"/>
    <xf numFmtId="0" fontId="38" fillId="0" borderId="0" xfId="0" quotePrefix="1" applyNumberFormat="1" applyFont="1" applyFill="1"/>
    <xf numFmtId="0" fontId="39" fillId="0" borderId="0" xfId="0" applyFont="1"/>
    <xf numFmtId="0" fontId="11" fillId="0" borderId="15" xfId="1" applyFont="1" applyFill="1" applyBorder="1"/>
    <xf numFmtId="0" fontId="16" fillId="0" borderId="0" xfId="0" applyFont="1" applyAlignment="1">
      <alignment vertical="center"/>
    </xf>
    <xf numFmtId="0" fontId="0" fillId="0" borderId="15" xfId="0" applyBorder="1"/>
    <xf numFmtId="0" fontId="16" fillId="0" borderId="0" xfId="1"/>
    <xf numFmtId="0" fontId="16" fillId="0" borderId="0" xfId="1" applyFont="1"/>
    <xf numFmtId="0" fontId="11" fillId="0" borderId="0" xfId="1" applyFont="1"/>
    <xf numFmtId="0" fontId="11" fillId="0" borderId="15" xfId="1" applyFont="1" applyBorder="1"/>
    <xf numFmtId="0" fontId="16" fillId="0" borderId="0" xfId="1" applyBorder="1"/>
    <xf numFmtId="0" fontId="11" fillId="0" borderId="0" xfId="1" applyFont="1" applyFill="1"/>
    <xf numFmtId="0" fontId="41" fillId="0" borderId="26" xfId="0" applyFont="1" applyBorder="1"/>
    <xf numFmtId="0" fontId="41" fillId="0" borderId="25" xfId="0" applyFont="1" applyBorder="1"/>
    <xf numFmtId="0" fontId="41" fillId="0" borderId="27" xfId="0" applyFont="1" applyBorder="1"/>
    <xf numFmtId="0" fontId="40" fillId="0" borderId="28" xfId="0" applyFont="1" applyBorder="1" applyAlignment="1">
      <alignment horizontal="center"/>
    </xf>
    <xf numFmtId="0" fontId="42" fillId="0" borderId="28" xfId="0" applyFont="1" applyBorder="1" applyAlignment="1">
      <alignment horizontal="center"/>
    </xf>
    <xf numFmtId="0" fontId="38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9" fillId="0" borderId="0" xfId="46"/>
    <xf numFmtId="0" fontId="38" fillId="0" borderId="0" xfId="59" applyFont="1" applyFill="1"/>
    <xf numFmtId="0" fontId="16" fillId="0" borderId="15" xfId="0" applyFont="1" applyBorder="1" applyAlignment="1">
      <alignment vertical="center"/>
    </xf>
    <xf numFmtId="0" fontId="16" fillId="0" borderId="30" xfId="1" applyBorder="1"/>
    <xf numFmtId="0" fontId="16" fillId="0" borderId="15" xfId="1" applyFont="1" applyBorder="1"/>
    <xf numFmtId="0" fontId="16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17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2" fillId="0" borderId="2" xfId="0" applyFont="1" applyBorder="1" applyAlignment="1">
      <alignment horizontal="right"/>
    </xf>
    <xf numFmtId="0" fontId="12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6" fillId="0" borderId="0" xfId="1" applyNumberFormat="1" applyFont="1"/>
    <xf numFmtId="0" fontId="16" fillId="0" borderId="0" xfId="1" applyBorder="1"/>
    <xf numFmtId="0" fontId="11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1" applyFont="1" applyFill="1"/>
    <xf numFmtId="0" fontId="0" fillId="0" borderId="0" xfId="0"/>
    <xf numFmtId="0" fontId="11" fillId="0" borderId="0" xfId="1" applyFont="1"/>
    <xf numFmtId="0" fontId="0" fillId="0" borderId="0" xfId="0"/>
    <xf numFmtId="0" fontId="11" fillId="0" borderId="0" xfId="1" applyFont="1"/>
    <xf numFmtId="0" fontId="16" fillId="0" borderId="0" xfId="1" applyFont="1" applyFill="1"/>
    <xf numFmtId="0" fontId="16" fillId="34" borderId="0" xfId="1" applyFill="1" applyBorder="1"/>
    <xf numFmtId="0" fontId="16" fillId="34" borderId="0" xfId="0" applyFont="1" applyFill="1"/>
    <xf numFmtId="0" fontId="16" fillId="34" borderId="15" xfId="0" applyFont="1" applyFill="1" applyBorder="1"/>
    <xf numFmtId="2" fontId="16" fillId="0" borderId="26" xfId="0" applyNumberFormat="1" applyFont="1" applyBorder="1"/>
    <xf numFmtId="2" fontId="16" fillId="0" borderId="32" xfId="0" applyNumberFormat="1" applyFont="1" applyBorder="1" applyAlignment="1">
      <alignment horizontal="center"/>
    </xf>
    <xf numFmtId="2" fontId="16" fillId="0" borderId="25" xfId="0" applyNumberFormat="1" applyFont="1" applyBorder="1"/>
    <xf numFmtId="2" fontId="16" fillId="0" borderId="27" xfId="0" applyNumberFormat="1" applyFont="1" applyBorder="1"/>
    <xf numFmtId="0" fontId="0" fillId="0" borderId="0" xfId="0"/>
    <xf numFmtId="0" fontId="16" fillId="35" borderId="0" xfId="0" applyFont="1" applyFill="1" applyAlignment="1">
      <alignment vertical="center"/>
    </xf>
    <xf numFmtId="0" fontId="16" fillId="35" borderId="0" xfId="1" applyFont="1" applyFill="1"/>
    <xf numFmtId="2" fontId="16" fillId="0" borderId="25" xfId="0" applyNumberFormat="1" applyFont="1" applyFill="1" applyBorder="1"/>
    <xf numFmtId="2" fontId="16" fillId="36" borderId="25" xfId="0" applyNumberFormat="1" applyFont="1" applyFill="1" applyBorder="1"/>
    <xf numFmtId="2" fontId="16" fillId="36" borderId="27" xfId="0" applyNumberFormat="1" applyFont="1" applyFill="1" applyBorder="1"/>
    <xf numFmtId="0" fontId="16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16" fillId="0" borderId="0" xfId="0" quotePrefix="1" applyNumberFormat="1" applyFont="1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1" fillId="0" borderId="0" xfId="46" applyFont="1"/>
    <xf numFmtId="0" fontId="45" fillId="0" borderId="33" xfId="0" applyFont="1" applyBorder="1"/>
    <xf numFmtId="0" fontId="45" fillId="0" borderId="33" xfId="0" applyFont="1" applyBorder="1" applyAlignment="1">
      <alignment vertical="center"/>
    </xf>
    <xf numFmtId="0" fontId="45" fillId="0" borderId="3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1" fillId="0" borderId="10" xfId="0" applyFont="1" applyBorder="1" applyAlignment="1">
      <alignment horizontal="center"/>
    </xf>
    <xf numFmtId="0" fontId="11" fillId="0" borderId="0" xfId="1" applyFont="1" applyFill="1"/>
    <xf numFmtId="0" fontId="0" fillId="0" borderId="0" xfId="0"/>
    <xf numFmtId="0" fontId="11" fillId="0" borderId="0" xfId="1" applyFont="1"/>
    <xf numFmtId="0" fontId="15" fillId="0" borderId="0" xfId="1" applyFont="1"/>
    <xf numFmtId="0" fontId="18" fillId="0" borderId="0" xfId="1" applyFont="1" applyAlignment="1">
      <alignment horizontal="center"/>
    </xf>
    <xf numFmtId="0" fontId="16" fillId="0" borderId="0" xfId="1" applyFont="1" applyFill="1" applyBorder="1" applyAlignment="1">
      <alignment horizontal="center"/>
    </xf>
    <xf numFmtId="0" fontId="11" fillId="0" borderId="29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40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F18" sqref="F18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5454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44044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5365</v>
      </c>
      <c r="B12" s="65" t="s">
        <v>5366</v>
      </c>
      <c r="C12" s="65"/>
      <c r="D12" s="65"/>
      <c r="E12" s="65"/>
    </row>
    <row r="13" spans="1:5" x14ac:dyDescent="0.2">
      <c r="A13" s="69" t="s">
        <v>5367</v>
      </c>
      <c r="B13" s="65"/>
      <c r="C13" s="65"/>
      <c r="D13" s="65"/>
      <c r="E13" s="65"/>
    </row>
    <row r="14" spans="1:5" x14ac:dyDescent="0.2">
      <c r="A14" s="69" t="s">
        <v>5368</v>
      </c>
      <c r="B14" s="65"/>
      <c r="C14" s="65"/>
      <c r="D14" s="65"/>
      <c r="E14" s="65"/>
    </row>
    <row r="15" spans="1:5" x14ac:dyDescent="0.2">
      <c r="A15" s="69" t="s">
        <v>5369</v>
      </c>
      <c r="B15" s="28"/>
      <c r="C15" s="67"/>
      <c r="D15" s="28"/>
      <c r="E15" s="28"/>
    </row>
    <row r="16" spans="1:5" x14ac:dyDescent="0.2">
      <c r="A16" s="69" t="s">
        <v>5370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5371</v>
      </c>
      <c r="B18" s="65"/>
      <c r="C18" s="67"/>
      <c r="D18" s="65"/>
      <c r="E18" s="65"/>
    </row>
    <row r="19" spans="1:5" x14ac:dyDescent="0.2">
      <c r="A19" s="69" t="s">
        <v>5372</v>
      </c>
      <c r="B19" s="70"/>
      <c r="C19" s="65"/>
      <c r="D19" s="65"/>
      <c r="E19" s="65"/>
    </row>
    <row r="20" spans="1:5" x14ac:dyDescent="0.2">
      <c r="A20" s="25" t="s">
        <v>5373</v>
      </c>
      <c r="B20" s="65"/>
      <c r="C20" s="67"/>
      <c r="D20" s="65"/>
      <c r="E20" s="65"/>
    </row>
    <row r="21" spans="1:5" x14ac:dyDescent="0.2">
      <c r="A21" s="25" t="s">
        <v>5374</v>
      </c>
      <c r="B21" s="28"/>
      <c r="C21" s="28"/>
      <c r="D21" s="28"/>
      <c r="E21" s="28"/>
    </row>
    <row r="22" spans="1:5" x14ac:dyDescent="0.2">
      <c r="A22" s="142" t="s">
        <v>5375</v>
      </c>
      <c r="B22" s="142"/>
      <c r="C22" s="142"/>
      <c r="D22" s="142"/>
      <c r="E22" s="14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1" t="s">
        <v>5376</v>
      </c>
      <c r="B24" s="141"/>
      <c r="C24" s="141"/>
      <c r="D24" s="141"/>
      <c r="E24" s="14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5379</v>
      </c>
      <c r="B38" s="66"/>
      <c r="C38" s="65"/>
      <c r="D38" s="65"/>
      <c r="E38" s="65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9" t="s">
        <v>5380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5381</v>
      </c>
      <c r="B44" s="70"/>
      <c r="C44" s="70"/>
      <c r="D44" s="70"/>
      <c r="E44" s="70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5382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5383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5384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5386</v>
      </c>
      <c r="B75" s="65" t="s">
        <v>5387</v>
      </c>
      <c r="C75" s="65"/>
      <c r="D75" s="65"/>
      <c r="E75" s="65"/>
    </row>
    <row r="76" spans="1:5" x14ac:dyDescent="0.2">
      <c r="A76" s="69" t="s">
        <v>5388</v>
      </c>
      <c r="B76" s="65" t="s">
        <v>5387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5389</v>
      </c>
      <c r="B79" s="65" t="s">
        <v>5390</v>
      </c>
      <c r="C79" s="65"/>
      <c r="D79" s="65"/>
      <c r="E79" s="65"/>
    </row>
    <row r="80" spans="1:5" x14ac:dyDescent="0.2">
      <c r="A80" s="69" t="s">
        <v>5391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9"/>
      <c r="D93" s="143" t="s">
        <v>44</v>
      </c>
      <c r="E93" s="138"/>
    </row>
    <row r="94" spans="1:5" x14ac:dyDescent="0.2">
      <c r="A94" s="73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73" t="s">
        <v>24</v>
      </c>
      <c r="B95" s="130" t="s">
        <v>31</v>
      </c>
      <c r="C95" s="131"/>
      <c r="D95" s="3" t="s">
        <v>47</v>
      </c>
      <c r="E95" s="9">
        <v>7</v>
      </c>
    </row>
    <row r="96" spans="1:5" x14ac:dyDescent="0.2">
      <c r="A96" s="73" t="s">
        <v>3</v>
      </c>
      <c r="B96" s="130" t="s">
        <v>32</v>
      </c>
      <c r="C96" s="131"/>
      <c r="D96" s="3" t="s">
        <v>48</v>
      </c>
      <c r="E96" s="9">
        <v>6</v>
      </c>
    </row>
    <row r="97" spans="1:5" x14ac:dyDescent="0.2">
      <c r="A97" s="73" t="s">
        <v>25</v>
      </c>
      <c r="B97" s="130" t="s">
        <v>33</v>
      </c>
      <c r="C97" s="131"/>
      <c r="D97" s="3" t="s">
        <v>49</v>
      </c>
      <c r="E97" s="9">
        <v>5</v>
      </c>
    </row>
    <row r="98" spans="1:5" x14ac:dyDescent="0.2">
      <c r="A98" s="73" t="s">
        <v>26</v>
      </c>
      <c r="B98" s="130" t="s">
        <v>34</v>
      </c>
      <c r="C98" s="131"/>
      <c r="D98" s="3" t="s">
        <v>50</v>
      </c>
      <c r="E98" s="9">
        <v>4</v>
      </c>
    </row>
    <row r="99" spans="1:5" x14ac:dyDescent="0.2">
      <c r="A99" s="73" t="s">
        <v>27</v>
      </c>
      <c r="B99" s="130" t="s">
        <v>35</v>
      </c>
      <c r="C99" s="131"/>
      <c r="D99" s="3" t="s">
        <v>4</v>
      </c>
      <c r="E99" s="9">
        <v>3</v>
      </c>
    </row>
    <row r="100" spans="1:5" x14ac:dyDescent="0.2">
      <c r="A100" s="73" t="s">
        <v>2</v>
      </c>
      <c r="B100" s="130" t="s">
        <v>36</v>
      </c>
      <c r="C100" s="131"/>
      <c r="D100" s="3" t="s">
        <v>5</v>
      </c>
      <c r="E100" s="9">
        <v>2</v>
      </c>
    </row>
    <row r="101" spans="1:5" x14ac:dyDescent="0.2">
      <c r="A101" s="73" t="s">
        <v>28</v>
      </c>
      <c r="B101" s="130" t="s">
        <v>37</v>
      </c>
      <c r="C101" s="13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2" t="s">
        <v>38</v>
      </c>
      <c r="C102" s="133"/>
      <c r="D102" s="5"/>
      <c r="E102" s="8"/>
    </row>
    <row r="103" spans="1:5" ht="13.5" thickBot="1" x14ac:dyDescent="0.25">
      <c r="A103" s="136" t="s">
        <v>68</v>
      </c>
      <c r="B103" s="137"/>
      <c r="C103" s="139"/>
      <c r="D103" s="143" t="s">
        <v>45</v>
      </c>
      <c r="E103" s="13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38"/>
    </row>
    <row r="113" spans="1:3" x14ac:dyDescent="0.2">
      <c r="A113" s="73">
        <v>1</v>
      </c>
      <c r="B113" s="134" t="s">
        <v>40</v>
      </c>
      <c r="C113" s="135"/>
    </row>
    <row r="114" spans="1:3" x14ac:dyDescent="0.2">
      <c r="A114" s="73" t="s">
        <v>39</v>
      </c>
      <c r="B114" s="130" t="s">
        <v>41</v>
      </c>
      <c r="C114" s="131"/>
    </row>
    <row r="115" spans="1:3" x14ac:dyDescent="0.2">
      <c r="A115" s="74" t="s">
        <v>15</v>
      </c>
      <c r="B115" s="128" t="s">
        <v>42</v>
      </c>
      <c r="C115" s="12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3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082" zoomScale="70" zoomScaleNormal="70" workbookViewId="0">
      <selection activeCell="A2104" sqref="A210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5394</v>
      </c>
      <c r="I2" s="42" t="s">
        <v>4820</v>
      </c>
      <c r="J2" s="42">
        <v>0.5</v>
      </c>
      <c r="K2" s="42"/>
      <c r="L2" s="42"/>
      <c r="M2" s="42"/>
      <c r="N2" s="13" t="s">
        <v>5363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5392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5393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5429</v>
      </c>
      <c r="B24" s="31" t="s">
        <v>5358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4840</v>
      </c>
      <c r="B36" s="31" t="s">
        <v>5359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4841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4842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4843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4844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4845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4846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4847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4848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4849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4850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4851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4852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4853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4854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5443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1" t="s">
        <v>5441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4873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4881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4890</v>
      </c>
      <c r="C426" s="32"/>
      <c r="E426" s="32"/>
      <c r="F426" s="32"/>
    </row>
    <row r="427" spans="1:6" x14ac:dyDescent="0.2">
      <c r="A427" s="36" t="s">
        <v>5417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4891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4892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4893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5438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4894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4895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4896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4897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4898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4899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4900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4901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4902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4903</v>
      </c>
    </row>
    <row r="693" spans="1:6" x14ac:dyDescent="0.2">
      <c r="A693" s="36" t="s">
        <v>5411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4904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4905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4906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5364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4907</v>
      </c>
      <c r="B721" s="31" t="s">
        <v>5364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4908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4909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4910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4911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4912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4913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4914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4915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4916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4917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4918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4919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4920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4921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4922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4923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5423</v>
      </c>
      <c r="B822" s="113" t="s">
        <v>2316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4924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4925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5360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5447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4926</v>
      </c>
      <c r="C858" s="32"/>
      <c r="E858" s="32"/>
      <c r="F858" s="32"/>
    </row>
    <row r="859" spans="1:7" x14ac:dyDescent="0.2">
      <c r="A859" s="36" t="s">
        <v>5446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4927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4928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4929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4930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4931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4932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4933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4934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4935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4936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4937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4938</v>
      </c>
      <c r="C966" s="32"/>
      <c r="E966" s="32"/>
      <c r="F966" s="32"/>
    </row>
    <row r="967" spans="1:7" ht="15" x14ac:dyDescent="0.25">
      <c r="A967" s="60" t="s">
        <v>4939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4940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4941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1" customFormat="1" x14ac:dyDescent="0.2">
      <c r="A984" s="36" t="s">
        <v>5421</v>
      </c>
      <c r="B984" s="113" t="s">
        <v>5422</v>
      </c>
      <c r="C984" s="39">
        <v>7</v>
      </c>
      <c r="D984" s="113" t="s">
        <v>149</v>
      </c>
      <c r="E984" s="114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4942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4943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4944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4945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4946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4947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4948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4949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4950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4951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4952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4953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4954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4955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4956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4957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5412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4958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4959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4960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4961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4962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4963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4964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4965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4966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4967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4968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4969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4970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4971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4972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4973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4974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4975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4976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0" t="s">
        <v>5434</v>
      </c>
      <c r="B1289" s="31" t="s">
        <v>5435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4977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4978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4979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4980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4981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4982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3" t="s">
        <v>5448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4983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4984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4985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4986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4987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4988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4989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4990</v>
      </c>
      <c r="C1370" s="32"/>
      <c r="E1370" s="32"/>
      <c r="F1370" s="32"/>
    </row>
    <row r="1371" spans="1:10" ht="15" x14ac:dyDescent="0.25">
      <c r="A1371" s="60" t="s">
        <v>4991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4992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4993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4994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4995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4996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4997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4998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4999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5000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5001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5002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5003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5004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5449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5450</v>
      </c>
    </row>
    <row r="1440" spans="1:8" ht="15" x14ac:dyDescent="0.25">
      <c r="A1440" s="60" t="s">
        <v>5005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5006</v>
      </c>
      <c r="C1442" s="32"/>
      <c r="E1442" s="32"/>
      <c r="F1442" s="32"/>
    </row>
    <row r="1443" spans="1:7" ht="15" x14ac:dyDescent="0.25">
      <c r="A1443" s="60" t="s">
        <v>5007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18" t="s">
        <v>5427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5008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5009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5010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5011</v>
      </c>
      <c r="C1456" s="32"/>
      <c r="E1456" s="32"/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5012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5013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5014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5015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5016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5017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5018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5019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5020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5021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5022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3" t="s">
        <v>5451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5023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5024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5025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5026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5027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5028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5029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5030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5031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5032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5033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5034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5035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5036</v>
      </c>
      <c r="C1572" s="32"/>
      <c r="E1572" s="32"/>
      <c r="F1572" s="32"/>
    </row>
    <row r="1573" spans="1:7" ht="15" x14ac:dyDescent="0.25">
      <c r="A1573" s="60" t="s">
        <v>5037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5038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5039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5040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5041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5042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5043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5044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5045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5046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5047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5048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5049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5050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5051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5052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5053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5054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5055</v>
      </c>
      <c r="D1644" s="32"/>
    </row>
    <row r="1645" spans="1:6" s="106" customFormat="1" ht="15" x14ac:dyDescent="0.25">
      <c r="A1645" s="107" t="s">
        <v>5414</v>
      </c>
      <c r="C1645" s="106">
        <v>0</v>
      </c>
      <c r="D1645" s="106" t="s">
        <v>157</v>
      </c>
      <c r="E1645" s="106" t="s">
        <v>152</v>
      </c>
    </row>
    <row r="1646" spans="1:6" s="117" customFormat="1" ht="15" x14ac:dyDescent="0.25">
      <c r="A1646" s="120" t="s">
        <v>5431</v>
      </c>
      <c r="C1646" s="117">
        <v>0</v>
      </c>
      <c r="D1646" s="117" t="s">
        <v>157</v>
      </c>
      <c r="E1646" s="117" t="s">
        <v>152</v>
      </c>
    </row>
    <row r="1647" spans="1:6" s="117" customFormat="1" ht="15" x14ac:dyDescent="0.25">
      <c r="A1647" s="120" t="s">
        <v>5432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5433</v>
      </c>
      <c r="C1648" s="117">
        <v>0</v>
      </c>
      <c r="D1648" s="117" t="s">
        <v>157</v>
      </c>
      <c r="E1648" s="11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5056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5057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5058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5059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5060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5061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5062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5063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5064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5065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5066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5067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5068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5069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5070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5071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5072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5073</v>
      </c>
      <c r="C1730" s="32"/>
      <c r="E1730" s="32"/>
      <c r="F1730" s="32"/>
    </row>
    <row r="1731" spans="1:7" ht="15" x14ac:dyDescent="0.25">
      <c r="A1731" s="60" t="s">
        <v>5074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5075</v>
      </c>
      <c r="C1735" s="32"/>
      <c r="E1735" s="32"/>
      <c r="F1735" s="32"/>
    </row>
    <row r="1736" spans="1:7" ht="15" x14ac:dyDescent="0.25">
      <c r="A1736" s="60" t="s">
        <v>5076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5077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5078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5079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2" t="s">
        <v>5442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5080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5081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5082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5083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5084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5085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5086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5087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5088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5089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5090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5091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5092</v>
      </c>
      <c r="C1793" s="32"/>
      <c r="E1793" s="32"/>
      <c r="F1793" s="32"/>
    </row>
    <row r="1794" spans="1:7" ht="15" x14ac:dyDescent="0.25">
      <c r="A1794" s="60" t="s">
        <v>5093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5094</v>
      </c>
      <c r="C1801" s="32"/>
      <c r="E1801" s="32"/>
      <c r="F1801" s="32"/>
    </row>
    <row r="1802" spans="1:7" ht="15" x14ac:dyDescent="0.25">
      <c r="A1802" s="60" t="s">
        <v>5095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5096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5097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5098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5099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5100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5101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5102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5103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5104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5105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5106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5107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5108</v>
      </c>
      <c r="C1858" s="32"/>
      <c r="E1858" s="32"/>
      <c r="F1858" s="32"/>
    </row>
    <row r="1859" spans="1:7" ht="15" x14ac:dyDescent="0.25">
      <c r="A1859" s="60" t="s">
        <v>5109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5110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5111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5112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5113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5114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5115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5116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5117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5118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5119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5120</v>
      </c>
      <c r="C1896" s="32"/>
      <c r="E1896" s="32"/>
      <c r="F1896" s="32"/>
    </row>
    <row r="1897" spans="1:7" x14ac:dyDescent="0.2">
      <c r="A1897" s="36" t="s">
        <v>5452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5121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5122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5123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5124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5125</v>
      </c>
      <c r="C1921" s="32"/>
      <c r="E1921" s="32"/>
      <c r="F1921" s="32"/>
    </row>
    <row r="1922" spans="1:7" ht="15" x14ac:dyDescent="0.25">
      <c r="A1922" s="60" t="s">
        <v>5126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5127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5128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5129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5130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5131</v>
      </c>
      <c r="C1939" s="32"/>
      <c r="E1939" s="32"/>
      <c r="F1939" s="32"/>
    </row>
    <row r="1940" spans="1:7" x14ac:dyDescent="0.2">
      <c r="A1940" s="36" t="s">
        <v>5420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5132</v>
      </c>
      <c r="C1944" s="32"/>
      <c r="E1944" s="32"/>
      <c r="F1944" s="32"/>
    </row>
    <row r="1945" spans="1:7" ht="15" x14ac:dyDescent="0.25">
      <c r="A1945" s="60" t="s">
        <v>5133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5134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5135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5136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5137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5138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5139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5140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5141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5142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5143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18" t="s">
        <v>5430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5407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5144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5145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5146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5147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5148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5149</v>
      </c>
      <c r="C2015" s="32"/>
      <c r="E2015" s="32"/>
      <c r="F2015" s="32"/>
    </row>
    <row r="2016" spans="1:7" ht="15" x14ac:dyDescent="0.25">
      <c r="A2016" s="60" t="s">
        <v>5150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5151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5152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5153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5154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5155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5156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5157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5158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5159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5160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5161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5162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5163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5164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5165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5166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5167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5168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5169</v>
      </c>
      <c r="E2094" s="32"/>
      <c r="F2094" s="32"/>
    </row>
    <row r="2095" spans="1:7" ht="15" x14ac:dyDescent="0.25">
      <c r="A2095" s="60" t="s">
        <v>5170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5171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4" t="s">
        <v>5459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5172</v>
      </c>
      <c r="C2105" s="32"/>
      <c r="E2105" s="32"/>
      <c r="F2105" s="32"/>
    </row>
    <row r="2106" spans="1:7" ht="15" x14ac:dyDescent="0.25">
      <c r="A2106" s="60" t="s">
        <v>5173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5174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5175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5176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5177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5178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5179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5180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5181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5182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5183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5184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5185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5186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5187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5188</v>
      </c>
      <c r="C2212" s="32"/>
      <c r="D2212" s="32"/>
      <c r="E2212" s="32"/>
      <c r="F2212" s="32"/>
    </row>
    <row r="2213" spans="1:7" ht="15" x14ac:dyDescent="0.25">
      <c r="A2213" s="60" t="s">
        <v>5189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5190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5191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5192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5193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5194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5195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5196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5197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5198</v>
      </c>
      <c r="C2286" s="32"/>
      <c r="E2286" s="32"/>
      <c r="F2286" s="32"/>
    </row>
    <row r="2287" spans="1:7" ht="15" x14ac:dyDescent="0.25">
      <c r="A2287" s="60" t="s">
        <v>5199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5200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5201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5202</v>
      </c>
      <c r="C2305" s="32"/>
      <c r="E2305" s="32"/>
      <c r="F2305" s="32"/>
    </row>
    <row r="2306" spans="1:7" ht="15" x14ac:dyDescent="0.25">
      <c r="A2306" s="60" t="s">
        <v>5203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5204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5205</v>
      </c>
      <c r="C2313" s="32"/>
      <c r="E2313" s="32"/>
      <c r="F2313" s="32"/>
    </row>
    <row r="2314" spans="1:7" ht="15" x14ac:dyDescent="0.25">
      <c r="A2314" s="60" t="s">
        <v>5206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5207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5208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5209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5210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5211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5212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5213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5214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5215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5216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18" t="s">
        <v>5424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5217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5218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5219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5220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5413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60" t="s">
        <v>5221</v>
      </c>
      <c r="C2444" s="32"/>
      <c r="E2444" s="32"/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5222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5223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5224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5225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5226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5227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5228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5229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5230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5231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18" t="s">
        <v>5425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5232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0" t="s">
        <v>5436</v>
      </c>
      <c r="B2531" s="31" t="s">
        <v>5437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5233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5234</v>
      </c>
    </row>
    <row r="2538" spans="1:7" ht="15" x14ac:dyDescent="0.25">
      <c r="A2538" s="60" t="s">
        <v>5235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5236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5237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5238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5239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5240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5241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5242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5243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5444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5445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5244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5245</v>
      </c>
    </row>
    <row r="2585" spans="1:7" ht="15" x14ac:dyDescent="0.25">
      <c r="A2585" s="60" t="s">
        <v>5246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5247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5248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5249</v>
      </c>
    </row>
    <row r="2600" spans="1:7" s="109" customFormat="1" ht="15" x14ac:dyDescent="0.25">
      <c r="A2600" s="110" t="s">
        <v>5418</v>
      </c>
      <c r="B2600" s="109" t="s">
        <v>5419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5250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5251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5252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5253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5254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5255</v>
      </c>
    </row>
    <row r="2625" spans="1:7" ht="15" x14ac:dyDescent="0.25">
      <c r="A2625" s="60" t="s">
        <v>5256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5257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5258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5259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5260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5261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5262</v>
      </c>
    </row>
    <row r="2662" spans="1:6" ht="15" x14ac:dyDescent="0.25">
      <c r="A2662" s="60" t="s">
        <v>5263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5264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16" customFormat="1" x14ac:dyDescent="0.2">
      <c r="A2674" s="36" t="s">
        <v>5426</v>
      </c>
      <c r="B2674" s="116" t="s">
        <v>4195</v>
      </c>
      <c r="C2674" s="116">
        <v>1</v>
      </c>
      <c r="D2674" s="11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5265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5410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5266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5267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5268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5269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5270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5271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5272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5273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5274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5275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5276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5277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5278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5279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5280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5281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5282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5283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5284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5285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5286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5287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5288</v>
      </c>
    </row>
    <row r="2802" spans="1:7" ht="15" x14ac:dyDescent="0.25">
      <c r="A2802" s="60" t="s">
        <v>5289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5290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60" t="s">
        <v>5291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5292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5293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5294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5295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5296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5297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5298</v>
      </c>
    </row>
    <row r="2862" spans="1:7" ht="15" x14ac:dyDescent="0.25">
      <c r="A2862" s="60" t="s">
        <v>5299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5300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5301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5302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5303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5304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5305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5306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5307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5308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5309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5310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5311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5312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5313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5314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5315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5316</v>
      </c>
    </row>
    <row r="2916" spans="1:7" ht="15" x14ac:dyDescent="0.25">
      <c r="A2916" s="60" t="s">
        <v>5317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5318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5319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5320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5321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5322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5323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5324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5325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5326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5327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5328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5329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5330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5331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5332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5333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5334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5335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5336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5337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5338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5339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5340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5341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5342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5343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5344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5345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5415</v>
      </c>
      <c r="B3045" s="108" t="s">
        <v>5416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18" t="s">
        <v>5428</v>
      </c>
      <c r="C3069" s="39">
        <v>4</v>
      </c>
      <c r="D3069" s="31" t="s">
        <v>149</v>
      </c>
      <c r="E3069" s="39" t="s">
        <v>147</v>
      </c>
    </row>
    <row r="3070" spans="1:7" s="119" customFormat="1" ht="15" x14ac:dyDescent="0.25">
      <c r="A3070" s="121" t="s">
        <v>5439</v>
      </c>
      <c r="C3070" s="39">
        <v>4</v>
      </c>
      <c r="D3070" s="119" t="s">
        <v>149</v>
      </c>
      <c r="E3070" s="39" t="s">
        <v>147</v>
      </c>
    </row>
    <row r="3071" spans="1:7" s="119" customFormat="1" ht="15" x14ac:dyDescent="0.25">
      <c r="A3071" s="121" t="s">
        <v>5440</v>
      </c>
      <c r="C3071" s="39">
        <v>7</v>
      </c>
      <c r="D3071" s="11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5346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5347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5348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5349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5350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5351</v>
      </c>
    </row>
    <row r="3104" spans="1:7" ht="15" x14ac:dyDescent="0.25">
      <c r="A3104" s="60" t="s">
        <v>5352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5353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5354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5355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5356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5357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24" t="s">
        <v>5453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90" zoomScaleNormal="9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103" t="s">
        <v>5481</v>
      </c>
      <c r="C2" s="46" t="str">
        <f>CONCATENATE(B2,2024)</f>
        <v>LHHL1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5408</v>
      </c>
      <c r="D9" s="49" t="s">
        <v>5399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5408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5" t="s">
        <v>3749</v>
      </c>
      <c r="B10" s="44" t="str">
        <f>IF(LEN(VLOOKUP(A10,'Species List'!$A:$G,2,FALSE))=0,"",VLOOKUP(A10,'Species List'!$A:$G,2,FALSE))</f>
        <v>common buckthorn</v>
      </c>
      <c r="C10" s="44">
        <f>IF(LEN(VLOOKUP(A10,'Species List'!$A:$G,3,FALSE))=0,"",VLOOKUP(A10,'Species List'!$A:$G,3,FALSE))</f>
        <v>0</v>
      </c>
      <c r="D10" s="98">
        <f t="shared" ref="D10" si="0">VALUE(C10)</f>
        <v>0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27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" si="1">VALUE(L10)</f>
        <v>3</v>
      </c>
      <c r="N10" s="105">
        <f t="shared" ref="N10:N75" si="2">L10/$L$151</f>
        <v>1.7804154302670624E-2</v>
      </c>
      <c r="O10" s="105">
        <f t="shared" ref="O10" si="3">D10*N10</f>
        <v>0</v>
      </c>
    </row>
    <row r="11" spans="1:15" ht="13.5" thickBot="1" x14ac:dyDescent="0.25">
      <c r="A11" s="125"/>
      <c r="B11" s="44"/>
      <c r="C11" s="44"/>
      <c r="D11" s="98"/>
      <c r="E11" s="44"/>
      <c r="F11" s="44"/>
      <c r="G11" s="44"/>
      <c r="H11" s="44"/>
      <c r="J11" s="127"/>
      <c r="K11" s="47"/>
      <c r="L11" s="47"/>
      <c r="M11" s="99"/>
      <c r="N11" s="105"/>
      <c r="O11" s="105"/>
    </row>
    <row r="12" spans="1:15" ht="13.5" thickBot="1" x14ac:dyDescent="0.25">
      <c r="A12" s="125" t="s">
        <v>3650</v>
      </c>
      <c r="B12" s="44" t="str">
        <f>IF(LEN(VLOOKUP(A12,'Species List'!$A:$G,2,FALSE))=0,"",VLOOKUP(A12,'Species List'!$A:$G,2,FALSE))</f>
        <v>chokecherry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1.7804154302670624E-2</v>
      </c>
      <c r="O12" s="85">
        <f>D12*N12</f>
        <v>5.3412462908011868E-2</v>
      </c>
    </row>
    <row r="13" spans="1:15" ht="13.5" thickBot="1" x14ac:dyDescent="0.25">
      <c r="A13" s="125"/>
      <c r="B13" s="44"/>
      <c r="C13" s="44"/>
      <c r="D13" s="98"/>
      <c r="E13" s="44"/>
      <c r="F13" s="44"/>
      <c r="G13" s="44"/>
      <c r="H13" s="44"/>
      <c r="J13" s="127"/>
      <c r="K13" s="47"/>
      <c r="L13" s="47"/>
      <c r="M13" s="99"/>
      <c r="O13" s="97"/>
    </row>
    <row r="14" spans="1:15" ht="13.5" thickBot="1" x14ac:dyDescent="0.25">
      <c r="A14" s="125"/>
      <c r="B14" s="44"/>
      <c r="C14" s="44"/>
      <c r="D14" s="98"/>
      <c r="E14" s="44"/>
      <c r="F14" s="44"/>
      <c r="G14" s="44"/>
      <c r="H14" s="44"/>
      <c r="J14" s="127"/>
      <c r="K14" s="47"/>
      <c r="L14" s="47"/>
      <c r="M14" s="99"/>
      <c r="O14" s="97"/>
    </row>
    <row r="15" spans="1:15" ht="13.5" thickBot="1" x14ac:dyDescent="0.25">
      <c r="A15" s="125"/>
      <c r="B15" s="44"/>
      <c r="C15" s="44"/>
      <c r="D15" s="98"/>
      <c r="E15" s="44"/>
      <c r="F15" s="44"/>
      <c r="G15" s="44"/>
      <c r="H15" s="44"/>
      <c r="J15" s="127"/>
      <c r="K15" s="47"/>
      <c r="L15" s="47"/>
      <c r="M15" s="99"/>
      <c r="O15" s="97"/>
    </row>
    <row r="16" spans="1:15" ht="13.5" thickBot="1" x14ac:dyDescent="0.25">
      <c r="A16" s="125" t="s">
        <v>1459</v>
      </c>
      <c r="B16" s="44" t="str">
        <f>IF(LEN(VLOOKUP(A16,'Species List'!$A:$G,2,FALSE))=0,"",VLOOKUP(A16,'Species List'!$A:$G,2,FALSE))</f>
        <v>gray dogwood</v>
      </c>
      <c r="C16" s="44">
        <f>IF(LEN(VLOOKUP(A16,'Species List'!$A:$G,3,FALSE))=0,"",VLOOKUP(A16,'Species List'!$A:$G,3,FALSE))</f>
        <v>2</v>
      </c>
      <c r="D16" s="98">
        <f t="shared" ref="D16:D76" si="4">VALUE(C16)</f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[FACW-]</v>
      </c>
      <c r="H16" s="44">
        <f>VLOOKUP(A16,'Species List'!$A:$G,7,FALSE)</f>
        <v>0</v>
      </c>
      <c r="J16" s="127" t="s">
        <v>5392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ref="M16:M76" si="5">VALUE(L16)</f>
        <v>3</v>
      </c>
      <c r="N16" s="85">
        <f t="shared" si="2"/>
        <v>1.7804154302670624E-2</v>
      </c>
      <c r="O16" s="97">
        <f t="shared" ref="O16:O76" si="6">D16*N16</f>
        <v>3.5608308605341248E-2</v>
      </c>
    </row>
    <row r="17" spans="1:15" ht="13.5" thickBot="1" x14ac:dyDescent="0.25">
      <c r="A17" s="125" t="s">
        <v>2141</v>
      </c>
      <c r="B17" s="44" t="str">
        <f>IF(LEN(VLOOKUP(A17,'Species List'!$A:$G,2,FALSE))=0,"",VLOOKUP(A17,'Species List'!$A:$G,2,FALSE))</f>
        <v>green ash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27" t="s">
        <v>5392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1.7804154302670624E-2</v>
      </c>
      <c r="O17" s="97">
        <f t="shared" si="6"/>
        <v>3.5608308605341248E-2</v>
      </c>
    </row>
    <row r="18" spans="1:15" ht="13.5" thickBot="1" x14ac:dyDescent="0.25">
      <c r="A18" s="125" t="s">
        <v>4695</v>
      </c>
      <c r="B18" s="44" t="str">
        <f>IF(LEN(VLOOKUP(A18,'Species List'!$A:$G,2,FALSE))=0,"",VLOOKUP(A18,'Species List'!$A:$G,2,FALSE))</f>
        <v>downy arrowwood</v>
      </c>
      <c r="C18" s="44">
        <f>IF(LEN(VLOOKUP(A18,'Species List'!$A:$G,3,FALSE))=0,"",VLOOKUP(A18,'Species List'!$A:$G,3,FALSE))</f>
        <v>7</v>
      </c>
      <c r="D18" s="98">
        <f t="shared" si="4"/>
        <v>7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7" t="s">
        <v>5392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1.7804154302670624E-2</v>
      </c>
      <c r="O18" s="97">
        <f t="shared" si="6"/>
        <v>0.12462908011869436</v>
      </c>
    </row>
    <row r="19" spans="1:15" ht="13.5" thickBot="1" x14ac:dyDescent="0.25">
      <c r="A19" s="125" t="s">
        <v>2135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[FAC+]</v>
      </c>
      <c r="H19" s="44">
        <f>VLOOKUP(A19,'Species List'!$A:$G,7,FALSE)</f>
        <v>0</v>
      </c>
      <c r="J19" s="127" t="s">
        <v>5392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1.7804154302670624E-2</v>
      </c>
      <c r="O19" s="97">
        <f t="shared" si="6"/>
        <v>0</v>
      </c>
    </row>
    <row r="20" spans="1:15" ht="13.5" thickBot="1" x14ac:dyDescent="0.25">
      <c r="A20" s="125"/>
      <c r="B20" s="44"/>
      <c r="C20" s="44"/>
      <c r="D20" s="98"/>
      <c r="E20" s="44"/>
      <c r="F20" s="44"/>
      <c r="G20" s="44"/>
      <c r="H20" s="44"/>
      <c r="J20" s="127"/>
      <c r="K20" s="47"/>
      <c r="L20" s="47"/>
      <c r="M20" s="99"/>
      <c r="O20" s="97"/>
    </row>
    <row r="21" spans="1:15" ht="13.5" thickBot="1" x14ac:dyDescent="0.25">
      <c r="A21" s="125"/>
      <c r="B21" s="44"/>
      <c r="C21" s="44"/>
      <c r="D21" s="98"/>
      <c r="E21" s="44"/>
      <c r="F21" s="44"/>
      <c r="G21" s="44"/>
      <c r="H21" s="44"/>
      <c r="J21" s="127"/>
      <c r="K21" s="47"/>
      <c r="L21" s="47"/>
      <c r="M21" s="99"/>
      <c r="O21" s="97"/>
    </row>
    <row r="22" spans="1:15" ht="13.5" thickBot="1" x14ac:dyDescent="0.25">
      <c r="A22" s="125" t="s">
        <v>4690</v>
      </c>
      <c r="B22" s="44" t="str">
        <f>IF(LEN(VLOOKUP(A22,'Species List'!$A:$G,2,FALSE))=0,"",VLOOKUP(A22,'Species List'!$A:$G,2,FALSE))</f>
        <v>nannyberry</v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FAC+</v>
      </c>
      <c r="H22" s="44">
        <f>VLOOKUP(A22,'Species List'!$A:$G,7,FALSE)</f>
        <v>0</v>
      </c>
      <c r="J22" s="127">
        <v>3</v>
      </c>
      <c r="K22" s="47" t="str">
        <f>VLOOKUP(J22,'Species List'!$H$1:$J$9,2,FALSE)</f>
        <v>&gt;25-50%</v>
      </c>
      <c r="L22" s="47">
        <f>VLOOKUP(K22,'Species List'!$I$1:$N$8,2,FALSE)</f>
        <v>37.5</v>
      </c>
      <c r="M22" s="99">
        <f t="shared" si="5"/>
        <v>37.5</v>
      </c>
      <c r="N22" s="85">
        <f t="shared" si="2"/>
        <v>0.22255192878338279</v>
      </c>
      <c r="O22" s="97">
        <f t="shared" si="6"/>
        <v>0.89020771513353114</v>
      </c>
    </row>
    <row r="23" spans="1:15" ht="13.5" thickBot="1" x14ac:dyDescent="0.25">
      <c r="A23" s="125" t="s">
        <v>1475</v>
      </c>
      <c r="B23" s="44" t="str">
        <f>IF(LEN(VLOOKUP(A23,'Species List'!$A:$G,2,FALSE))=0,"",VLOOKUP(A23,'Species List'!$A:$G,2,FALSE))</f>
        <v>American hazelnut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</v>
      </c>
      <c r="H23" s="44">
        <f>VLOOKUP(A23,'Species List'!$A:$G,7,FALSE)</f>
        <v>0</v>
      </c>
      <c r="J23" s="127" t="s">
        <v>5392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1.7804154302670624E-2</v>
      </c>
      <c r="O23" s="97">
        <f t="shared" si="6"/>
        <v>5.3412462908011868E-2</v>
      </c>
    </row>
    <row r="24" spans="1:15" ht="13.5" thickBot="1" x14ac:dyDescent="0.25">
      <c r="A24" s="125" t="s">
        <v>5455</v>
      </c>
      <c r="B24" s="44" t="e">
        <f>IF(LEN(VLOOKUP(A24,'Species List'!$A:$G,2,FALSE))=0,"",VLOOKUP(A24,'Species List'!$A:$G,2,FALSE))</f>
        <v>#N/A</v>
      </c>
      <c r="C24" s="44">
        <v>2</v>
      </c>
      <c r="D24" s="98">
        <f t="shared" si="4"/>
        <v>2</v>
      </c>
      <c r="E24" s="44" t="s">
        <v>157</v>
      </c>
      <c r="F24" s="44" t="s">
        <v>147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7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8.9020771513353122E-2</v>
      </c>
      <c r="O24" s="97">
        <f t="shared" si="6"/>
        <v>0.17804154302670624</v>
      </c>
    </row>
    <row r="25" spans="1:15" ht="13.5" thickBot="1" x14ac:dyDescent="0.25">
      <c r="A25" s="125" t="s">
        <v>3648</v>
      </c>
      <c r="B25" s="44" t="str">
        <f>IF(LEN(VLOOKUP(A25,'Species List'!$A:$G,2,FALSE))=0,"",VLOOKUP(A25,'Species List'!$A:$G,2,FALSE))</f>
        <v>black cherry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[FACU]</v>
      </c>
      <c r="H25" s="44">
        <f>VLOOKUP(A25,'Species List'!$A:$G,7,FALSE)</f>
        <v>0</v>
      </c>
      <c r="J25" s="127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1.7804154302670624E-2</v>
      </c>
      <c r="O25" s="97">
        <f t="shared" si="6"/>
        <v>7.1216617210682495E-2</v>
      </c>
    </row>
    <row r="26" spans="1:15" ht="13.5" thickBot="1" x14ac:dyDescent="0.25">
      <c r="A26" s="125" t="s">
        <v>5424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7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1.7804154302670624E-2</v>
      </c>
      <c r="O26" s="97">
        <f t="shared" si="6"/>
        <v>5.3412462908011868E-2</v>
      </c>
    </row>
    <row r="27" spans="1:15" ht="14.25" customHeight="1" thickBot="1" x14ac:dyDescent="0.25">
      <c r="A27" s="125"/>
      <c r="B27" s="44"/>
      <c r="C27" s="44"/>
      <c r="D27" s="98"/>
      <c r="E27" s="44"/>
      <c r="F27" s="44"/>
      <c r="G27" s="44"/>
      <c r="H27" s="44"/>
      <c r="J27" s="127"/>
      <c r="K27" s="47"/>
      <c r="L27" s="47"/>
      <c r="M27" s="99"/>
      <c r="O27" s="97"/>
    </row>
    <row r="28" spans="1:15" ht="13.5" thickBot="1" x14ac:dyDescent="0.25">
      <c r="A28" s="125"/>
      <c r="B28" s="44"/>
      <c r="C28" s="44"/>
      <c r="D28" s="98"/>
      <c r="E28" s="44"/>
      <c r="F28" s="44"/>
      <c r="G28" s="44"/>
      <c r="H28" s="44"/>
      <c r="J28" s="127"/>
      <c r="K28" s="47"/>
      <c r="L28" s="47"/>
      <c r="M28" s="99"/>
      <c r="O28" s="97"/>
    </row>
    <row r="29" spans="1:15" ht="13.5" thickBot="1" x14ac:dyDescent="0.25">
      <c r="A29" s="125" t="s">
        <v>1476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UPL</v>
      </c>
      <c r="H29" s="44">
        <f>VLOOKUP(A29,'Species List'!$A:$G,7,FALSE)</f>
        <v>0</v>
      </c>
      <c r="J29" s="127" t="s">
        <v>5392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1.7804154302670624E-2</v>
      </c>
      <c r="O29" s="97">
        <f t="shared" si="6"/>
        <v>8.9020771513353122E-2</v>
      </c>
    </row>
    <row r="30" spans="1:15" ht="13.5" thickBot="1" x14ac:dyDescent="0.25">
      <c r="A30" s="125"/>
      <c r="B30" s="44"/>
      <c r="C30" s="44"/>
      <c r="D30" s="98"/>
      <c r="E30" s="44"/>
      <c r="F30" s="44"/>
      <c r="G30" s="44"/>
      <c r="H30" s="44"/>
      <c r="J30" s="127"/>
      <c r="K30" s="47"/>
      <c r="L30" s="47"/>
      <c r="M30" s="99"/>
      <c r="O30" s="97"/>
    </row>
    <row r="31" spans="1:15" ht="13.5" thickBot="1" x14ac:dyDescent="0.25">
      <c r="A31" s="125" t="s">
        <v>4806</v>
      </c>
      <c r="B31" s="44" t="str">
        <f>IF(LEN(VLOOKUP(A31,'Species List'!$A:$G,2,FALSE))=0,"",VLOOKUP(A31,'Species List'!$A:$G,2,FALSE))</f>
        <v>prickly ash</v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27" t="s">
        <v>5392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85">
        <f t="shared" si="2"/>
        <v>1.7804154302670624E-2</v>
      </c>
      <c r="O31" s="97">
        <f t="shared" si="6"/>
        <v>5.3412462908011868E-2</v>
      </c>
    </row>
    <row r="32" spans="1:15" ht="13.5" thickBot="1" x14ac:dyDescent="0.25">
      <c r="A32" s="125"/>
      <c r="B32" s="44"/>
      <c r="C32" s="44"/>
      <c r="D32" s="98"/>
      <c r="E32" s="44"/>
      <c r="F32" s="44"/>
      <c r="G32" s="44"/>
      <c r="H32" s="44"/>
      <c r="J32" s="127"/>
      <c r="K32" s="47"/>
      <c r="L32" s="47"/>
      <c r="M32" s="99"/>
      <c r="O32" s="97"/>
    </row>
    <row r="33" spans="1:15" ht="13.5" thickBot="1" x14ac:dyDescent="0.25">
      <c r="A33" s="126" t="s">
        <v>5456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7" t="s">
        <v>5392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85">
        <f t="shared" si="2"/>
        <v>1.7804154302670624E-2</v>
      </c>
      <c r="O33" s="97">
        <f t="shared" si="6"/>
        <v>0</v>
      </c>
    </row>
    <row r="34" spans="1:15" ht="13.5" thickBot="1" x14ac:dyDescent="0.25">
      <c r="A34" s="125" t="s">
        <v>3842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7" t="s">
        <v>5392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85">
        <f t="shared" si="2"/>
        <v>1.7804154302670624E-2</v>
      </c>
      <c r="O34" s="97">
        <f t="shared" si="6"/>
        <v>5.3412462908011868E-2</v>
      </c>
    </row>
    <row r="35" spans="1:15" ht="13.5" thickBot="1" x14ac:dyDescent="0.25">
      <c r="A35" s="125"/>
      <c r="B35" s="44"/>
      <c r="C35" s="44"/>
      <c r="D35" s="98"/>
      <c r="E35" s="44"/>
      <c r="F35" s="44"/>
      <c r="G35" s="44"/>
      <c r="H35" s="44"/>
      <c r="J35" s="127"/>
      <c r="K35" s="47"/>
      <c r="L35" s="47"/>
      <c r="M35" s="99"/>
      <c r="O35" s="97"/>
    </row>
    <row r="36" spans="1:15" ht="13.5" thickBot="1" x14ac:dyDescent="0.25">
      <c r="A36" s="125" t="s">
        <v>3849</v>
      </c>
      <c r="B36" s="44" t="str">
        <f>IF(LEN(VLOOKUP(A36,'Species List'!$A:$G,2,FALSE))=0,"",VLOOKUP(A36,'Species List'!$A:$G,2,FALSE))</f>
        <v>black raspberry</v>
      </c>
      <c r="C36" s="44">
        <f>IF(LEN(VLOOKUP(A36,'Species List'!$A:$G,3,FALSE))=0,"",VLOOKUP(A36,'Species List'!$A:$G,3,FALSE))</f>
        <v>2</v>
      </c>
      <c r="D36" s="98">
        <f t="shared" si="4"/>
        <v>2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7" t="s">
        <v>5392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85">
        <f t="shared" si="2"/>
        <v>1.7804154302670624E-2</v>
      </c>
      <c r="O36" s="97">
        <f t="shared" si="6"/>
        <v>3.5608308605341248E-2</v>
      </c>
    </row>
    <row r="37" spans="1:15" ht="13.5" thickBot="1" x14ac:dyDescent="0.25">
      <c r="A37" s="125"/>
      <c r="B37" s="44"/>
      <c r="C37" s="44"/>
      <c r="D37" s="98"/>
      <c r="E37" s="44"/>
      <c r="F37" s="44"/>
      <c r="G37" s="44"/>
      <c r="H37" s="44"/>
      <c r="J37" s="127"/>
      <c r="K37" s="47"/>
      <c r="L37" s="47"/>
      <c r="M37" s="99"/>
      <c r="O37" s="97"/>
    </row>
    <row r="38" spans="1:15" ht="13.5" thickBot="1" x14ac:dyDescent="0.25">
      <c r="A38" s="125" t="s">
        <v>1249</v>
      </c>
      <c r="B38" s="44" t="str">
        <f>IF(LEN(VLOOKUP(A38,'Species List'!$A:$G,2,FALSE))=0,"",VLOOKUP(A38,'Species List'!$A:$G,2,FALSE))</f>
        <v>hackberry</v>
      </c>
      <c r="C38" s="44">
        <f>IF(LEN(VLOOKUP(A38,'Species List'!$A:$G,3,FALSE))=0,"",VLOOKUP(A38,'Species List'!$A:$G,3,FALSE))</f>
        <v>3</v>
      </c>
      <c r="D38" s="98">
        <f t="shared" si="4"/>
        <v>3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[FAC-]</v>
      </c>
      <c r="H38" s="44">
        <f>VLOOKUP(A38,'Species List'!$A:$G,7,FALSE)</f>
        <v>0</v>
      </c>
      <c r="J38" s="127" t="s">
        <v>5394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99">
        <f t="shared" si="5"/>
        <v>0.5</v>
      </c>
      <c r="N38" s="85">
        <f t="shared" si="2"/>
        <v>2.967359050445104E-3</v>
      </c>
      <c r="O38" s="97">
        <f t="shared" si="6"/>
        <v>8.9020771513353119E-3</v>
      </c>
    </row>
    <row r="39" spans="1:15" ht="13.5" thickBot="1" x14ac:dyDescent="0.25">
      <c r="A39" s="125"/>
      <c r="B39" s="44"/>
      <c r="C39" s="44"/>
      <c r="D39" s="98"/>
      <c r="E39" s="44"/>
      <c r="F39" s="44"/>
      <c r="G39" s="44"/>
      <c r="H39" s="44"/>
      <c r="J39" s="127"/>
      <c r="K39" s="47"/>
      <c r="L39" s="47"/>
      <c r="M39" s="99"/>
      <c r="O39" s="97"/>
    </row>
    <row r="40" spans="1:15" ht="13.5" thickBot="1" x14ac:dyDescent="0.25">
      <c r="A40" s="125"/>
      <c r="B40" s="44"/>
      <c r="C40" s="44"/>
      <c r="D40" s="98"/>
      <c r="E40" s="44"/>
      <c r="F40" s="44"/>
      <c r="G40" s="44"/>
      <c r="H40" s="44"/>
      <c r="J40" s="127"/>
      <c r="K40" s="47"/>
      <c r="L40" s="47"/>
      <c r="M40" s="99"/>
      <c r="O40" s="97"/>
    </row>
    <row r="41" spans="1:15" ht="13.5" thickBot="1" x14ac:dyDescent="0.25">
      <c r="A41" s="125"/>
      <c r="B41" s="44"/>
      <c r="C41" s="44"/>
      <c r="D41" s="98"/>
      <c r="E41" s="44"/>
      <c r="F41" s="44"/>
      <c r="G41" s="44"/>
      <c r="H41" s="44"/>
      <c r="J41" s="127"/>
      <c r="K41" s="47"/>
      <c r="L41" s="47"/>
      <c r="M41" s="99"/>
      <c r="O41" s="97"/>
    </row>
    <row r="42" spans="1:15" ht="13.5" thickBot="1" x14ac:dyDescent="0.25">
      <c r="A42" s="125" t="s">
        <v>4587</v>
      </c>
      <c r="B42" s="44" t="str">
        <f>IF(LEN(VLOOKUP(A42,'Species List'!$A:$G,2,FALSE))=0,"",VLOOKUP(A42,'Species List'!$A:$G,2,FALSE))</f>
        <v>American elm</v>
      </c>
      <c r="C42" s="44">
        <f>IF(LEN(VLOOKUP(A42,'Species List'!$A:$G,3,FALSE))=0,"",VLOOKUP(A42,'Species List'!$A:$G,3,FALSE))</f>
        <v>3</v>
      </c>
      <c r="D42" s="98">
        <f t="shared" si="4"/>
        <v>3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FACW-</v>
      </c>
      <c r="H42" s="44">
        <f>VLOOKUP(A42,'Species List'!$A:$G,7,FALSE)</f>
        <v>0</v>
      </c>
      <c r="J42" s="127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8.9020771513353122E-2</v>
      </c>
      <c r="O42" s="97">
        <f t="shared" si="6"/>
        <v>0.26706231454005935</v>
      </c>
    </row>
    <row r="43" spans="1:15" ht="13.5" thickBot="1" x14ac:dyDescent="0.25">
      <c r="A43" s="125" t="s">
        <v>3677</v>
      </c>
      <c r="B43" s="44" t="str">
        <f>IF(LEN(VLOOKUP(A43,'Species List'!$A:$G,2,FALSE))=0,"",VLOOKUP(A43,'Species List'!$A:$G,2,FALSE))</f>
        <v>white oak</v>
      </c>
      <c r="C43" s="44">
        <f>IF(LEN(VLOOKUP(A43,'Species List'!$A:$G,3,FALSE))=0,"",VLOOKUP(A43,'Species List'!$A:$G,3,FALSE))</f>
        <v>7</v>
      </c>
      <c r="D43" s="98">
        <f t="shared" si="4"/>
        <v>7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</v>
      </c>
      <c r="H43" s="44">
        <f>VLOOKUP(A43,'Species List'!$A:$G,7,FALSE)</f>
        <v>0</v>
      </c>
      <c r="J43" s="127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8.9020771513353122E-2</v>
      </c>
      <c r="O43" s="97">
        <f t="shared" si="6"/>
        <v>0.6231454005934719</v>
      </c>
    </row>
    <row r="44" spans="1:15" ht="13.5" thickBot="1" x14ac:dyDescent="0.25">
      <c r="A44" s="125" t="s">
        <v>3683</v>
      </c>
      <c r="B44" s="44" t="str">
        <f>IF(LEN(VLOOKUP(A44,'Species List'!$A:$G,2,FALSE))=0,"",VLOOKUP(A44,'Species List'!$A:$G,2,FALSE))</f>
        <v>northern pin oak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27">
        <v>3</v>
      </c>
      <c r="K44" s="47" t="str">
        <f>VLOOKUP(J44,'Species List'!$H$1:$J$9,2,FALSE)</f>
        <v>&gt;25-50%</v>
      </c>
      <c r="L44" s="47">
        <f>VLOOKUP(K44,'Species List'!$I$1:$N$8,2,FALSE)</f>
        <v>37.5</v>
      </c>
      <c r="M44" s="99">
        <f t="shared" si="5"/>
        <v>37.5</v>
      </c>
      <c r="N44" s="85">
        <f t="shared" si="2"/>
        <v>0.22255192878338279</v>
      </c>
      <c r="O44" s="97">
        <f t="shared" si="6"/>
        <v>1.1127596439169138</v>
      </c>
    </row>
    <row r="45" spans="1:15" ht="13.5" thickBot="1" x14ac:dyDescent="0.25">
      <c r="A45" s="125" t="s">
        <v>4757</v>
      </c>
      <c r="B45" s="44" t="str">
        <f>IF(LEN(VLOOKUP(A45,'Species List'!$A:$G,2,FALSE))=0,"",VLOOKUP(A45,'Species List'!$A:$G,2,FALSE))</f>
        <v>wild grape</v>
      </c>
      <c r="C45" s="44">
        <f>IF(LEN(VLOOKUP(A45,'Species List'!$A:$G,3,FALSE))=0,"",VLOOKUP(A45,'Species List'!$A:$G,3,FALSE))</f>
        <v>2</v>
      </c>
      <c r="D45" s="98">
        <f t="shared" si="4"/>
        <v>2</v>
      </c>
      <c r="E45" s="44" t="str">
        <f>IF(LEN(VLOOKUP(A45,'Species List'!$A:$G,4,FALSE))=0,"",VLOOKUP(A45,'Species List'!$A:$G,4,FALSE))</f>
        <v>C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FACW-</v>
      </c>
      <c r="H45" s="44">
        <f>VLOOKUP(A45,'Species List'!$A:$G,7,FALSE)</f>
        <v>0</v>
      </c>
      <c r="J45" s="127">
        <v>1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85">
        <f t="shared" si="2"/>
        <v>1.7804154302670624E-2</v>
      </c>
      <c r="O45" s="97">
        <f t="shared" si="6"/>
        <v>3.5608308605341248E-2</v>
      </c>
    </row>
    <row r="46" spans="1:15" ht="13.5" thickBot="1" x14ac:dyDescent="0.25">
      <c r="A46" s="126" t="s">
        <v>5430</v>
      </c>
      <c r="B46" s="44" t="str">
        <f>IF(LEN(VLOOKUP(A46,'Species List'!$A:$G,2,FALSE))=0,"",VLOOKUP(A46,'Species List'!$A:$G,2,FALSE))</f>
        <v/>
      </c>
      <c r="C46" s="44">
        <f>IF(LEN(VLOOKUP(A46,'Species List'!$A:$G,3,FALSE))=0,"",VLOOKUP(A46,'Species List'!$A:$G,3,FALSE))</f>
        <v>2</v>
      </c>
      <c r="D46" s="98">
        <f t="shared" si="4"/>
        <v>2</v>
      </c>
      <c r="E46" s="44" t="str">
        <f>IF(LEN(VLOOKUP(A46,'Species List'!$A:$G,4,FALSE))=0,"",VLOOKUP(A46,'Species List'!$A:$G,4,FALSE))</f>
        <v>C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/>
      </c>
      <c r="H46" s="44">
        <f>VLOOKUP(A46,'Species List'!$A:$G,7,FALSE)</f>
        <v>0</v>
      </c>
      <c r="J46" s="127" t="s">
        <v>5392</v>
      </c>
      <c r="K46" s="47" t="str">
        <f>VLOOKUP(J46,'Species List'!$H$1:$J$9,2,FALSE)</f>
        <v>&gt;1-5%</v>
      </c>
      <c r="L46" s="47">
        <f>VLOOKUP(K46,'Species List'!$I$1:$N$8,2,FALSE)</f>
        <v>3</v>
      </c>
      <c r="M46" s="99">
        <f t="shared" si="5"/>
        <v>3</v>
      </c>
      <c r="N46" s="85">
        <f t="shared" si="2"/>
        <v>1.7804154302670624E-2</v>
      </c>
      <c r="O46" s="97">
        <f t="shared" si="6"/>
        <v>3.5608308605341248E-2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0" t="s">
        <v>5361</v>
      </c>
      <c r="J151" s="151"/>
      <c r="K151" s="152"/>
      <c r="L151" s="63">
        <f>SUMIF(L10:L150,"&gt;=0")</f>
        <v>168.5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68B6E8F9-D5CA-4818-8D3B-00A5CAADC548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E34" sqref="E3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5408</v>
      </c>
      <c r="D9" s="49" t="s">
        <v>5399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5409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5" t="s">
        <v>4616</v>
      </c>
      <c r="B10" s="44" t="str">
        <f>IF(LEN(VLOOKUP(A10,'Species List'!$A:$G,2,FALSE))=0,"",VLOOKUP(A10,'Species List'!$A:$G,2,FALSE))</f>
        <v>pale bellwort</v>
      </c>
      <c r="C10" s="44">
        <f>IF(LEN(VLOOKUP(A10,'Species List'!$A:$G,3,FALSE))=0,"",VLOOKUP(A10,'Species List'!$A:$G,3,FALSE))</f>
        <v>6</v>
      </c>
      <c r="D10" s="98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FAC-</v>
      </c>
      <c r="H10" s="44">
        <f>VLOOKUP(A10,'Species List'!$A:$G,7,FALSE)</f>
        <v>0</v>
      </c>
      <c r="J10" s="127" t="s">
        <v>5392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1.8808777429467086E-2</v>
      </c>
      <c r="O10" s="105">
        <f t="shared" ref="O10:O11" si="3">D10*N10</f>
        <v>0.11285266457680251</v>
      </c>
    </row>
    <row r="11" spans="1:15" ht="13.5" thickBot="1" x14ac:dyDescent="0.25">
      <c r="A11" s="125" t="s">
        <v>4419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1.8808777429467086E-2</v>
      </c>
      <c r="O11" s="105">
        <f t="shared" si="3"/>
        <v>0.11285266457680251</v>
      </c>
    </row>
    <row r="12" spans="1:15" ht="13.5" thickBot="1" x14ac:dyDescent="0.25">
      <c r="A12" s="125" t="s">
        <v>3143</v>
      </c>
      <c r="B12" s="44" t="str">
        <f>IF(LEN(VLOOKUP(A12,'Species List'!$A:$G,2,FALSE))=0,"",VLOOKUP(A12,'Species List'!$A:$G,2,FALSE))</f>
        <v>yellow wood sorrel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1.8808777429467086E-2</v>
      </c>
      <c r="O12" s="85">
        <f>D12*N12</f>
        <v>0</v>
      </c>
    </row>
    <row r="13" spans="1:15" ht="13.5" thickBot="1" x14ac:dyDescent="0.25">
      <c r="A13" s="125" t="s">
        <v>359</v>
      </c>
      <c r="B13" s="44" t="str">
        <f>IF(LEN(VLOOKUP(A13,'Species List'!$A:$G,2,FALSE))=0,"",VLOOKUP(A13,'Species List'!$A:$G,2,FALSE))</f>
        <v>hog peanut</v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7" t="s">
        <v>5392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1.8808777429467086E-2</v>
      </c>
      <c r="O13" s="97">
        <f t="shared" ref="O13:O75" si="6">D13*N13</f>
        <v>3.7617554858934171E-2</v>
      </c>
    </row>
    <row r="14" spans="1:15" ht="13.5" thickBot="1" x14ac:dyDescent="0.25">
      <c r="A14" s="125" t="s">
        <v>1655</v>
      </c>
      <c r="B14" s="44" t="str">
        <f>IF(LEN(VLOOKUP(A14,'Species List'!$A:$G,2,FALSE))=0,"",VLOOKUP(A14,'Species List'!$A:$G,2,FALSE))</f>
        <v>pointed-leaved tick trefoil</v>
      </c>
      <c r="C14" s="44">
        <f>IF(LEN(VLOOKUP(A14,'Species List'!$A:$G,3,FALSE))=0,"",VLOOKUP(A14,'Species List'!$A:$G,3,FALSE))</f>
        <v>6</v>
      </c>
      <c r="D14" s="98">
        <f t="shared" si="4"/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1.8808777429467086E-2</v>
      </c>
      <c r="O14" s="97">
        <f t="shared" si="6"/>
        <v>0.11285266457680251</v>
      </c>
    </row>
    <row r="15" spans="1:15" ht="13.5" thickBot="1" x14ac:dyDescent="0.25">
      <c r="A15" s="125" t="s">
        <v>2230</v>
      </c>
      <c r="B15" s="44" t="str">
        <f>IF(LEN(VLOOKUP(A15,'Species List'!$A:$G,2,FALSE))=0,"",VLOOKUP(A15,'Species List'!$A:$G,2,FALSE))</f>
        <v>wild geranium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7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1.8808777429467086E-2</v>
      </c>
      <c r="O15" s="97">
        <f t="shared" si="6"/>
        <v>7.5235109717868343E-2</v>
      </c>
    </row>
    <row r="16" spans="1:15" ht="13.5" thickBot="1" x14ac:dyDescent="0.25">
      <c r="A16" s="125" t="s">
        <v>2298</v>
      </c>
      <c r="B16" s="44" t="str">
        <f>IF(LEN(VLOOKUP(A16,'Species List'!$A:$G,2,FALSE))=0,"",VLOOKUP(A16,'Species List'!$A:$G,2,FALSE))</f>
        <v>Virginia stickseed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FAC-</v>
      </c>
      <c r="H16" s="44">
        <f>VLOOKUP(A16,'Species List'!$A:$G,7,FALSE)</f>
        <v>0</v>
      </c>
      <c r="J16" s="127" t="s">
        <v>5392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1.8808777429467086E-2</v>
      </c>
      <c r="O16" s="97">
        <f t="shared" si="6"/>
        <v>1.8808777429467086E-2</v>
      </c>
    </row>
    <row r="17" spans="1:15" ht="13.5" thickBot="1" x14ac:dyDescent="0.25">
      <c r="A17" s="125" t="s">
        <v>2183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27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1.8808777429467086E-2</v>
      </c>
      <c r="O17" s="97">
        <f t="shared" si="6"/>
        <v>7.5235109717868343E-2</v>
      </c>
    </row>
    <row r="18" spans="1:15" ht="13.5" thickBot="1" x14ac:dyDescent="0.25">
      <c r="A18" s="125" t="s">
        <v>4499</v>
      </c>
      <c r="B18" s="44" t="str">
        <f>IF(LEN(VLOOKUP(A18,'Species List'!$A:$G,2,FALSE))=0,"",VLOOKUP(A18,'Species List'!$A:$G,2,FALSE))</f>
        <v>Japanese Hedge Parsley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7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1.8808777429467086E-2</v>
      </c>
      <c r="O18" s="97">
        <f t="shared" si="6"/>
        <v>0</v>
      </c>
    </row>
    <row r="19" spans="1:15" ht="13.5" thickBot="1" x14ac:dyDescent="0.25">
      <c r="A19" s="125" t="s">
        <v>4472</v>
      </c>
      <c r="B19" s="44" t="str">
        <f>IF(LEN(VLOOKUP(A19,'Species List'!$A:$G,2,FALSE))=0,"",VLOOKUP(A19,'Species List'!$A:$G,2,FALSE))</f>
        <v>early meadow-rue</v>
      </c>
      <c r="C19" s="44">
        <f>IF(LEN(VLOOKUP(A19,'Species List'!$A:$G,3,FALSE))=0,"",VLOOKUP(A19,'Species List'!$A:$G,3,FALSE))</f>
        <v>5</v>
      </c>
      <c r="D19" s="98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FACU+</v>
      </c>
      <c r="H19" s="44">
        <f>VLOOKUP(A19,'Species List'!$A:$G,7,FALSE)</f>
        <v>0</v>
      </c>
      <c r="J19" s="127" t="s">
        <v>5392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1.8808777429467086E-2</v>
      </c>
      <c r="O19" s="97">
        <f t="shared" si="6"/>
        <v>9.4043887147335428E-2</v>
      </c>
    </row>
    <row r="20" spans="1:15" ht="13.5" thickBot="1" x14ac:dyDescent="0.25">
      <c r="A20" s="125" t="s">
        <v>596</v>
      </c>
      <c r="B20" s="44" t="str">
        <f>IF(LEN(VLOOKUP(A20,'Species List'!$A:$G,2,FALSE))=0,"",VLOOKUP(A20,'Species List'!$A:$G,2,FALSE))</f>
        <v>lady fern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7" t="s">
        <v>5392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1.8808777429467086E-2</v>
      </c>
      <c r="O20" s="97">
        <f t="shared" si="6"/>
        <v>9.4043887147335428E-2</v>
      </c>
    </row>
    <row r="21" spans="1:15" ht="13.5" thickBot="1" x14ac:dyDescent="0.25">
      <c r="A21" s="125" t="s">
        <v>2841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7" t="s">
        <v>5392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1.8808777429467086E-2</v>
      </c>
      <c r="O21" s="97">
        <f t="shared" si="6"/>
        <v>9.4043887147335428E-2</v>
      </c>
    </row>
    <row r="22" spans="1:15" ht="13.5" thickBot="1" x14ac:dyDescent="0.25">
      <c r="A22" s="125" t="s">
        <v>472</v>
      </c>
      <c r="B22" s="44" t="str">
        <f>IF(LEN(VLOOKUP(A22,'Species List'!$A:$G,2,FALSE))=0,"",VLOOKUP(A22,'Species List'!$A:$G,2,FALSE))</f>
        <v>Jack-in-the-pulpit</v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FACW-</v>
      </c>
      <c r="H22" s="44">
        <f>VLOOKUP(A22,'Species List'!$A:$G,7,FALSE)</f>
        <v>0</v>
      </c>
      <c r="J22" s="127" t="s">
        <v>5392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1.8808777429467086E-2</v>
      </c>
      <c r="O22" s="97">
        <f t="shared" si="6"/>
        <v>7.5235109717868343E-2</v>
      </c>
    </row>
    <row r="23" spans="1:15" ht="13.5" thickBot="1" x14ac:dyDescent="0.25">
      <c r="A23" s="125" t="s">
        <v>199</v>
      </c>
      <c r="B23" s="44" t="str">
        <f>IF(LEN(VLOOKUP(A23,'Species List'!$A:$G,2,FALSE))=0,"",VLOOKUP(A23,'Species List'!$A:$G,2,FALSE))</f>
        <v>red baneberry</v>
      </c>
      <c r="C23" s="44">
        <f>IF(LEN(VLOOKUP(A23,'Species List'!$A:$G,3,FALSE))=0,"",VLOOKUP(A23,'Species List'!$A:$G,3,FALSE))</f>
        <v>7</v>
      </c>
      <c r="D23" s="98">
        <f t="shared" si="4"/>
        <v>7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7" t="s">
        <v>5394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97">
        <f t="shared" si="2"/>
        <v>3.134796238244514E-3</v>
      </c>
      <c r="O23" s="97">
        <f t="shared" si="6"/>
        <v>2.1943573667711599E-2</v>
      </c>
    </row>
    <row r="24" spans="1:15" ht="13.5" thickBot="1" x14ac:dyDescent="0.25">
      <c r="A24" s="125" t="s">
        <v>234</v>
      </c>
      <c r="B24" s="44" t="str">
        <f>IF(LEN(VLOOKUP(A24,'Species List'!$A:$G,2,FALSE))=0,"",VLOOKUP(A24,'Species List'!$A:$G,2,FALSE))</f>
        <v>white snakeroot</v>
      </c>
      <c r="C24" s="44">
        <f>IF(LEN(VLOOKUP(A24,'Species List'!$A:$G,3,FALSE))=0,"",VLOOKUP(A24,'Species List'!$A:$G,3,FALSE))</f>
        <v>1</v>
      </c>
      <c r="D24" s="98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7" t="s">
        <v>5392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1.8808777429467086E-2</v>
      </c>
      <c r="O24" s="97">
        <f t="shared" si="6"/>
        <v>1.8808777429467086E-2</v>
      </c>
    </row>
    <row r="25" spans="1:15" ht="13.5" thickBot="1" x14ac:dyDescent="0.25">
      <c r="A25" s="125" t="s">
        <v>4211</v>
      </c>
      <c r="B25" s="44" t="str">
        <f>IF(LEN(VLOOKUP(A25,'Species List'!$A:$G,2,FALSE))=0,"",VLOOKUP(A25,'Species List'!$A:$G,2,FALSE))</f>
        <v>giant goldenrod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7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1.8808777429467086E-2</v>
      </c>
      <c r="O25" s="97">
        <f t="shared" si="6"/>
        <v>5.6426332288401257E-2</v>
      </c>
    </row>
    <row r="26" spans="1:15" ht="13.5" thickBot="1" x14ac:dyDescent="0.25">
      <c r="A26" s="125" t="s">
        <v>1364</v>
      </c>
      <c r="B26" s="44" t="str">
        <f>IF(LEN(VLOOKUP(A26,'Species List'!$A:$G,2,FALSE))=0,"",VLOOKUP(A26,'Species List'!$A:$G,2,FALSE))</f>
        <v>common enchanter's nightshade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[FACU]</v>
      </c>
      <c r="H26" s="44">
        <f>VLOOKUP(A26,'Species List'!$A:$G,7,FALSE)</f>
        <v>0</v>
      </c>
      <c r="J26" s="127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1.8808777429467086E-2</v>
      </c>
      <c r="O26" s="97">
        <f t="shared" si="6"/>
        <v>3.7617554858934171E-2</v>
      </c>
    </row>
    <row r="27" spans="1:15" ht="13.5" thickBot="1" x14ac:dyDescent="0.25">
      <c r="A27" s="125" t="s">
        <v>4202</v>
      </c>
      <c r="B27" s="44" t="str">
        <f>IF(LEN(VLOOKUP(A27,'Species List'!$A:$G,2,FALSE))=0,"",VLOOKUP(A27,'Species List'!$A:$G,2,FALSE))</f>
        <v>late goldenrod</v>
      </c>
      <c r="C27" s="44">
        <f>IF(LEN(VLOOKUP(A27,'Species List'!$A:$G,3,FALSE))=0,"",VLOOKUP(A27,'Species List'!$A:$G,3,FALSE))</f>
        <v>1</v>
      </c>
      <c r="D27" s="98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7">
        <v>2</v>
      </c>
      <c r="K27" s="47" t="str">
        <f>VLOOKUP(J27,'Species List'!$H$1:$J$9,2,FALSE)</f>
        <v>&gt;5-25%</v>
      </c>
      <c r="L27" s="47">
        <f>VLOOKUP(K27,'Species List'!$I$1:$N$8,2,FALSE)</f>
        <v>15</v>
      </c>
      <c r="M27" s="99">
        <f t="shared" si="5"/>
        <v>15</v>
      </c>
      <c r="N27" s="97">
        <f t="shared" si="2"/>
        <v>9.4043887147335428E-2</v>
      </c>
      <c r="O27" s="97">
        <f t="shared" si="6"/>
        <v>9.4043887147335428E-2</v>
      </c>
    </row>
    <row r="28" spans="1:15" ht="13.5" thickBot="1" x14ac:dyDescent="0.25">
      <c r="A28" s="125" t="s">
        <v>4414</v>
      </c>
      <c r="B28" s="44" t="str">
        <f>IF(LEN(VLOOKUP(A28,'Species List'!$A:$G,2,FALSE))=0,"",VLOOKUP(A28,'Species List'!$A:$G,2,FALSE))</f>
        <v>side-flowering aster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[FACW-]</v>
      </c>
      <c r="H28" s="44">
        <f>VLOOKUP(A28,'Species List'!$A:$G,7,FALSE)</f>
        <v>0</v>
      </c>
      <c r="J28" s="127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1.8808777429467086E-2</v>
      </c>
      <c r="O28" s="97">
        <f t="shared" si="6"/>
        <v>7.5235109717868343E-2</v>
      </c>
    </row>
    <row r="29" spans="1:15" ht="13.5" thickBot="1" x14ac:dyDescent="0.25">
      <c r="A29" s="126" t="s">
        <v>5457</v>
      </c>
      <c r="B29" s="44" t="e">
        <f>IF(LEN(VLOOKUP(A29,'Species List'!$A:$G,2,FALSE))=0,"",VLOOKUP(A29,'Species List'!$A:$G,2,FALSE))</f>
        <v>#N/A</v>
      </c>
      <c r="C29" s="44">
        <v>1</v>
      </c>
      <c r="D29" s="98">
        <f t="shared" si="4"/>
        <v>1</v>
      </c>
      <c r="E29" s="44" t="s">
        <v>149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7" t="s">
        <v>5394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3.134796238244514E-3</v>
      </c>
      <c r="O29" s="97">
        <f t="shared" si="6"/>
        <v>3.134796238244514E-3</v>
      </c>
    </row>
    <row r="30" spans="1:15" ht="13.5" thickBot="1" x14ac:dyDescent="0.25">
      <c r="A30" s="125" t="s">
        <v>1970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7" t="s">
        <v>5392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1.8808777429467086E-2</v>
      </c>
      <c r="O30" s="97">
        <f t="shared" si="6"/>
        <v>3.7617554858934171E-2</v>
      </c>
    </row>
    <row r="31" spans="1:15" ht="13.5" thickBot="1" x14ac:dyDescent="0.25">
      <c r="A31" s="125" t="s">
        <v>4614</v>
      </c>
      <c r="B31" s="44" t="str">
        <f>IF(LEN(VLOOKUP(A31,'Species List'!$A:$G,2,FALSE))=0,"",VLOOKUP(A31,'Species List'!$A:$G,2,FALSE))</f>
        <v>large-flowered bellwort</v>
      </c>
      <c r="C31" s="44">
        <f>IF(LEN(VLOOKUP(A31,'Species List'!$A:$G,3,FALSE))=0,"",VLOOKUP(A31,'Species List'!$A:$G,3,FALSE))</f>
        <v>7</v>
      </c>
      <c r="D31" s="98">
        <f t="shared" si="4"/>
        <v>7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27" t="s">
        <v>5392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1.8808777429467086E-2</v>
      </c>
      <c r="O31" s="97">
        <f t="shared" si="6"/>
        <v>0.13166144200626961</v>
      </c>
    </row>
    <row r="32" spans="1:15" ht="13.5" thickBot="1" x14ac:dyDescent="0.25">
      <c r="A32" s="125" t="s">
        <v>1983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2</v>
      </c>
      <c r="D32" s="98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27" t="s">
        <v>5394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97">
        <f t="shared" si="2"/>
        <v>3.134796238244514E-3</v>
      </c>
      <c r="O32" s="97">
        <f t="shared" si="6"/>
        <v>6.269592476489028E-3</v>
      </c>
    </row>
    <row r="33" spans="1:15" ht="13.5" thickBot="1" x14ac:dyDescent="0.25">
      <c r="A33" s="125" t="s">
        <v>3657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">
        <v>149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7">
        <v>1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1.8808777429467086E-2</v>
      </c>
      <c r="O33" s="97">
        <f t="shared" si="6"/>
        <v>3.7617554858934171E-2</v>
      </c>
    </row>
    <row r="34" spans="1:15" ht="13.5" thickBot="1" x14ac:dyDescent="0.25">
      <c r="A34" s="125" t="s">
        <v>1977</v>
      </c>
      <c r="B34" s="44" t="str">
        <f>IF(LEN(VLOOKUP(A34,'Species List'!$A:$G,2,FALSE))=0,"",VLOOKUP(A34,'Species List'!$A:$G,2,FALSE))</f>
        <v>annual fleabane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27" t="s">
        <v>5392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1.8808777429467086E-2</v>
      </c>
      <c r="O34" s="97">
        <f t="shared" si="6"/>
        <v>0</v>
      </c>
    </row>
    <row r="35" spans="1:15" ht="13.5" thickBot="1" x14ac:dyDescent="0.25">
      <c r="A35" s="125" t="s">
        <v>4470</v>
      </c>
      <c r="B35" s="44" t="str">
        <f>IF(LEN(VLOOKUP(A35,'Species List'!$A:$G,2,FALSE))=0,"",VLOOKUP(A35,'Species List'!$A:$G,2,FALSE))</f>
        <v>tall meadow-rue</v>
      </c>
      <c r="C35" s="44">
        <f>IF(LEN(VLOOKUP(A35,'Species List'!$A:$G,3,FALSE))=0,"",VLOOKUP(A35,'Species List'!$A:$G,3,FALSE))</f>
        <v>4</v>
      </c>
      <c r="D35" s="98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27" t="s">
        <v>5392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1.8808777429467086E-2</v>
      </c>
      <c r="O35" s="97">
        <f t="shared" si="6"/>
        <v>7.5235109717868343E-2</v>
      </c>
    </row>
    <row r="36" spans="1:15" ht="13.5" thickBot="1" x14ac:dyDescent="0.25">
      <c r="A36" s="125" t="s">
        <v>1371</v>
      </c>
      <c r="B36" s="44" t="str">
        <f>IF(LEN(VLOOKUP(A36,'Species List'!$A:$G,2,FALSE))=0,"",VLOOKUP(A36,'Species List'!$A:$G,2,FALSE))</f>
        <v>Canada thistle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Introduced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7" t="s">
        <v>5392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1.8808777429467086E-2</v>
      </c>
      <c r="O36" s="97">
        <f t="shared" si="6"/>
        <v>0</v>
      </c>
    </row>
    <row r="37" spans="1:15" ht="13.5" thickBot="1" x14ac:dyDescent="0.25">
      <c r="A37" s="125" t="s">
        <v>3873</v>
      </c>
      <c r="B37" s="44" t="str">
        <f>IF(LEN(VLOOKUP(A37,'Species List'!$A:$G,2,FALSE))=0,"",VLOOKUP(A37,'Species List'!$A:$G,2,FALSE))</f>
        <v>black-eyed susan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7" t="s">
        <v>5392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1.8808777429467086E-2</v>
      </c>
      <c r="O37" s="97">
        <f t="shared" si="6"/>
        <v>7.5235109717868343E-2</v>
      </c>
    </row>
    <row r="38" spans="1:15" ht="13.5" thickBot="1" x14ac:dyDescent="0.25">
      <c r="A38" s="125" t="s">
        <v>3095</v>
      </c>
      <c r="B38" s="44" t="str">
        <f>IF(LEN(VLOOKUP(A38,'Species List'!$A:$G,2,FALSE))=0,"",VLOOKUP(A38,'Species List'!$A:$G,2,FALSE))</f>
        <v>sensitive fern</v>
      </c>
      <c r="C38" s="44">
        <f>IF(LEN(VLOOKUP(A38,'Species List'!$A:$G,3,FALSE))=0,"",VLOOKUP(A38,'Species List'!$A:$G,3,FALSE))</f>
        <v>4</v>
      </c>
      <c r="D38" s="98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FACW</v>
      </c>
      <c r="H38" s="44">
        <f>VLOOKUP(A38,'Species List'!$A:$G,7,FALSE)</f>
        <v>0</v>
      </c>
      <c r="J38" s="127" t="s">
        <v>5392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1.8808777429467086E-2</v>
      </c>
      <c r="O38" s="97">
        <f t="shared" si="6"/>
        <v>7.5235109717868343E-2</v>
      </c>
    </row>
    <row r="39" spans="1:15" ht="13.5" thickBot="1" x14ac:dyDescent="0.25">
      <c r="A39" s="125" t="s">
        <v>1418</v>
      </c>
      <c r="B39" s="44" t="str">
        <f>IF(LEN(VLOOKUP(A39,'Species List'!$A:$G,2,FALSE))=0,"",VLOOKUP(A39,'Species List'!$A:$G,2,FALSE))</f>
        <v>horseweed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[FAC-]</v>
      </c>
      <c r="H39" s="44">
        <f>VLOOKUP(A39,'Species List'!$A:$G,7,FALSE)</f>
        <v>0</v>
      </c>
      <c r="J39" s="127">
        <v>1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1.8808777429467086E-2</v>
      </c>
      <c r="O39" s="97">
        <f t="shared" si="6"/>
        <v>0</v>
      </c>
    </row>
    <row r="40" spans="1:15" ht="13.5" thickBot="1" x14ac:dyDescent="0.25">
      <c r="A40" s="125" t="s">
        <v>461</v>
      </c>
      <c r="B40" s="44" t="str">
        <f>IF(LEN(VLOOKUP(A40,'Species List'!$A:$G,2,FALSE))=0,"",VLOOKUP(A40,'Species List'!$A:$G,2,FALSE))</f>
        <v>common burdock</v>
      </c>
      <c r="C40" s="44">
        <f>IF(LEN(VLOOKUP(A40,'Species List'!$A:$G,3,FALSE))=0,"",VLOOKUP(A40,'Species List'!$A:$G,3,FALSE))</f>
        <v>0</v>
      </c>
      <c r="D40" s="98">
        <f t="shared" si="4"/>
        <v>0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Introduced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27" t="s">
        <v>5392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1.8808777429467086E-2</v>
      </c>
      <c r="O40" s="97">
        <f t="shared" si="6"/>
        <v>0</v>
      </c>
    </row>
    <row r="41" spans="1:15" ht="13.5" thickBot="1" x14ac:dyDescent="0.25">
      <c r="A41" s="125" t="s">
        <v>1269</v>
      </c>
      <c r="B41" s="44" t="str">
        <f>IF(LEN(VLOOKUP(A41,'Species List'!$A:$G,2,FALSE))=0,"",VLOOKUP(A41,'Species List'!$A:$G,2,FALSE))</f>
        <v/>
      </c>
      <c r="C41" s="44">
        <f>IF(LEN(VLOOKUP(A41,'Species List'!$A:$G,3,FALSE))=0,"",VLOOKUP(A41,'Species List'!$A:$G,3,FALSE))</f>
        <v>0</v>
      </c>
      <c r="D41" s="98">
        <f t="shared" si="4"/>
        <v>0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Introduced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27">
        <v>1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1.8808777429467086E-2</v>
      </c>
      <c r="O41" s="97">
        <f t="shared" si="6"/>
        <v>0</v>
      </c>
    </row>
    <row r="42" spans="1:15" ht="13.5" thickBot="1" x14ac:dyDescent="0.25">
      <c r="A42" s="127" t="s">
        <v>2237</v>
      </c>
      <c r="B42" s="44" t="str">
        <f>IF(LEN(VLOOKUP(A42,'Species List'!$A:$G,2,FALSE))=0,"",VLOOKUP(A42,'Species List'!$A:$G,2,FALSE))</f>
        <v>white avens</v>
      </c>
      <c r="C42" s="44">
        <f>IF(LEN(VLOOKUP(A42,'Species List'!$A:$G,3,FALSE))=0,"",VLOOKUP(A42,'Species List'!$A:$G,3,FALSE))</f>
        <v>2</v>
      </c>
      <c r="D42" s="98">
        <f t="shared" si="4"/>
        <v>2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</v>
      </c>
      <c r="H42" s="44">
        <f>VLOOKUP(A42,'Species List'!$A:$G,7,FALSE)</f>
        <v>0</v>
      </c>
      <c r="J42" s="127" t="s">
        <v>5392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1.8808777429467086E-2</v>
      </c>
      <c r="O42" s="97">
        <f t="shared" si="6"/>
        <v>3.7617554858934171E-2</v>
      </c>
    </row>
    <row r="43" spans="1:15" ht="13.5" thickBot="1" x14ac:dyDescent="0.25">
      <c r="A43" s="125" t="s">
        <v>3265</v>
      </c>
      <c r="B43" s="44" t="str">
        <f>IF(LEN(VLOOKUP(A43,'Species List'!$A:$G,2,FALSE))=0,"",VLOOKUP(A43,'Species List'!$A:$G,2,FALSE))</f>
        <v>arrow-leaved tearthumb</v>
      </c>
      <c r="C43" s="44">
        <f>IF(LEN(VLOOKUP(A43,'Species List'!$A:$G,3,FALSE))=0,"",VLOOKUP(A43,'Species List'!$A:$G,3,FALSE))</f>
        <v>4</v>
      </c>
      <c r="D43" s="98">
        <f t="shared" si="4"/>
        <v>4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OBL</v>
      </c>
      <c r="H43" s="44">
        <f>VLOOKUP(A43,'Species List'!$A:$G,7,FALSE)</f>
        <v>0</v>
      </c>
      <c r="J43" s="127">
        <v>1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1.8808777429467086E-2</v>
      </c>
      <c r="O43" s="97">
        <f t="shared" si="6"/>
        <v>7.5235109717868343E-2</v>
      </c>
    </row>
    <row r="44" spans="1:15" ht="13.5" thickBot="1" x14ac:dyDescent="0.25">
      <c r="A44" s="125" t="s">
        <v>3701</v>
      </c>
      <c r="B44" s="44" t="str">
        <f>IF(LEN(VLOOKUP(A44,'Species List'!$A:$G,2,FALSE))=0,"",VLOOKUP(A44,'Species List'!$A:$G,2,FALSE))</f>
        <v>kidney-leaved buttercup</v>
      </c>
      <c r="C44" s="44">
        <f>IF(LEN(VLOOKUP(A44,'Species List'!$A:$G,3,FALSE))=0,"",VLOOKUP(A44,'Species List'!$A:$G,3,FALSE))</f>
        <v>1</v>
      </c>
      <c r="D44" s="98">
        <f t="shared" si="4"/>
        <v>1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FACW-</v>
      </c>
      <c r="H44" s="44">
        <f>VLOOKUP(A44,'Species List'!$A:$G,7,FALSE)</f>
        <v>0</v>
      </c>
      <c r="J44" s="127" t="s">
        <v>5392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1.8808777429467086E-2</v>
      </c>
      <c r="O44" s="97">
        <f t="shared" si="6"/>
        <v>1.8808777429467086E-2</v>
      </c>
    </row>
    <row r="45" spans="1:15" ht="13.5" thickBot="1" x14ac:dyDescent="0.25">
      <c r="A45" s="125" t="s">
        <v>2042</v>
      </c>
      <c r="B45" s="44" t="str">
        <f>IF(LEN(VLOOKUP(A45,'Species List'!$A:$G,2,FALSE))=0,"",VLOOKUP(A45,'Species List'!$A:$G,2,FALSE))</f>
        <v>common boneset</v>
      </c>
      <c r="C45" s="44">
        <f>IF(LEN(VLOOKUP(A45,'Species List'!$A:$G,3,FALSE))=0,"",VLOOKUP(A45,'Species List'!$A:$G,3,FALSE))</f>
        <v>4</v>
      </c>
      <c r="D45" s="98">
        <f t="shared" si="4"/>
        <v>4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[FACW+]</v>
      </c>
      <c r="H45" s="44">
        <f>VLOOKUP(A45,'Species List'!$A:$G,7,FALSE)</f>
        <v>0</v>
      </c>
      <c r="J45" s="127">
        <v>1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1.8808777429467086E-2</v>
      </c>
      <c r="O45" s="97">
        <f t="shared" si="6"/>
        <v>7.5235109717868343E-2</v>
      </c>
    </row>
    <row r="46" spans="1:15" ht="13.5" thickBot="1" x14ac:dyDescent="0.25">
      <c r="A46" s="125" t="s">
        <v>4458</v>
      </c>
      <c r="B46" s="44" t="str">
        <f>IF(LEN(VLOOKUP(A46,'Species List'!$A:$G,2,FALSE))=0,"",VLOOKUP(A46,'Species List'!$A:$G,2,FALSE))</f>
        <v>common dandelion</v>
      </c>
      <c r="C46" s="44">
        <f>IF(LEN(VLOOKUP(A46,'Species List'!$A:$G,3,FALSE))=0,"",VLOOKUP(A46,'Species List'!$A:$G,3,FALSE))</f>
        <v>0</v>
      </c>
      <c r="D46" s="98">
        <f t="shared" si="4"/>
        <v>0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Introduced</v>
      </c>
      <c r="G46" s="44" t="str">
        <f>IF(LEN(VLOOKUP(A46,'Species List'!$A:$G,6,FALSE))=0,"",VLOOKUP(A46,'Species List'!$A:$G,6,FALSE))</f>
        <v>FACU</v>
      </c>
      <c r="H46" s="44">
        <f>VLOOKUP(A46,'Species List'!$A:$G,7,FALSE)</f>
        <v>0</v>
      </c>
      <c r="J46" s="127" t="s">
        <v>5394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3.134796238244514E-3</v>
      </c>
      <c r="O46" s="97">
        <f t="shared" si="6"/>
        <v>0</v>
      </c>
    </row>
    <row r="47" spans="1:15" ht="13.5" thickBot="1" x14ac:dyDescent="0.25">
      <c r="A47" s="125" t="s">
        <v>4646</v>
      </c>
      <c r="B47" s="44" t="str">
        <f>IF(LEN(VLOOKUP(A47,'Species List'!$A:$G,2,FALSE))=0,"",VLOOKUP(A47,'Species List'!$A:$G,2,FALSE))</f>
        <v>blue vervain</v>
      </c>
      <c r="C47" s="44">
        <f>IF(LEN(VLOOKUP(A47,'Species List'!$A:$G,3,FALSE))=0,"",VLOOKUP(A47,'Species List'!$A:$G,3,FALSE))</f>
        <v>6</v>
      </c>
      <c r="D47" s="98">
        <f t="shared" si="4"/>
        <v>6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Native</v>
      </c>
      <c r="G47" s="44" t="str">
        <f>IF(LEN(VLOOKUP(A47,'Species List'!$A:$G,6,FALSE))=0,"",VLOOKUP(A47,'Species List'!$A:$G,6,FALSE))</f>
        <v>FACW+</v>
      </c>
      <c r="H47" s="44">
        <f>VLOOKUP(A47,'Species List'!$A:$G,7,FALSE)</f>
        <v>0</v>
      </c>
      <c r="J47" s="127" t="s">
        <v>5392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97">
        <f t="shared" si="7"/>
        <v>1.8808777429467086E-2</v>
      </c>
      <c r="O47" s="97">
        <f t="shared" si="6"/>
        <v>0.11285266457680251</v>
      </c>
    </row>
    <row r="48" spans="1:15" ht="13.5" thickBot="1" x14ac:dyDescent="0.25">
      <c r="A48" s="125" t="s">
        <v>5458</v>
      </c>
      <c r="B48" s="44" t="e">
        <f>IF(LEN(VLOOKUP(A48,'Species List'!$A:$G,2,FALSE))=0,"",VLOOKUP(A48,'Species List'!$A:$G,2,FALSE))</f>
        <v>#N/A</v>
      </c>
      <c r="C48" s="44">
        <v>4</v>
      </c>
      <c r="D48" s="98">
        <f t="shared" si="4"/>
        <v>4</v>
      </c>
      <c r="E48" s="44" t="s">
        <v>149</v>
      </c>
      <c r="F48" s="44" t="s">
        <v>147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127" t="s">
        <v>5392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1.8808777429467086E-2</v>
      </c>
      <c r="O48" s="97">
        <f t="shared" si="6"/>
        <v>7.5235109717868343E-2</v>
      </c>
    </row>
    <row r="49" spans="1:15" ht="13.5" thickBot="1" x14ac:dyDescent="0.25">
      <c r="A49" s="125" t="s">
        <v>5459</v>
      </c>
      <c r="B49" s="44" t="str">
        <f>IF(LEN(VLOOKUP(A49,'Species List'!$A:$G,2,FALSE))=0,"",VLOOKUP(A49,'Species List'!$A:$G,2,FALSE))</f>
        <v/>
      </c>
      <c r="C49" s="44">
        <f>IF(LEN(VLOOKUP(A49,'Species List'!$A:$G,3,FALSE))=0,"",VLOOKUP(A49,'Species List'!$A:$G,3,FALSE))</f>
        <v>3</v>
      </c>
      <c r="D49" s="98">
        <f t="shared" si="4"/>
        <v>3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/>
      </c>
      <c r="H49" s="44">
        <f>VLOOKUP(A49,'Species List'!$A:$G,7,FALSE)</f>
        <v>0</v>
      </c>
      <c r="J49" s="127" t="s">
        <v>5394</v>
      </c>
      <c r="K49" s="47" t="str">
        <f>VLOOKUP(J49,'Species List'!$H$1:$J$9,2,FALSE)</f>
        <v>&gt;0-1%</v>
      </c>
      <c r="L49" s="47">
        <f>VLOOKUP(K49,'Species List'!$I$1:$N$8,2,FALSE)</f>
        <v>0.5</v>
      </c>
      <c r="M49" s="99">
        <f t="shared" si="5"/>
        <v>0.5</v>
      </c>
      <c r="N49" s="97">
        <f t="shared" si="7"/>
        <v>3.134796238244514E-3</v>
      </c>
      <c r="O49" s="97">
        <f t="shared" si="6"/>
        <v>9.4043887147335428E-3</v>
      </c>
    </row>
    <row r="50" spans="1:15" ht="13.5" thickBot="1" x14ac:dyDescent="0.25">
      <c r="A50" s="125" t="s">
        <v>3728</v>
      </c>
      <c r="B50" s="44" t="str">
        <f>IF(LEN(VLOOKUP(A50,'Species List'!$A:$G,2,FALSE))=0,"",VLOOKUP(A50,'Species List'!$A:$G,2,FALSE))</f>
        <v>bristly buttercup</v>
      </c>
      <c r="C50" s="44">
        <f>IF(LEN(VLOOKUP(A50,'Species List'!$A:$G,3,FALSE))=0,"",VLOOKUP(A50,'Species List'!$A:$G,3,FALSE))</f>
        <v>5</v>
      </c>
      <c r="D50" s="98">
        <f t="shared" si="4"/>
        <v>5</v>
      </c>
      <c r="E50" s="44" t="str">
        <f>IF(LEN(VLOOKUP(A50,'Species List'!$A:$G,4,FALSE))=0,"",VLOOKUP(A50,'Species List'!$A:$G,4,FALSE))</f>
        <v>H</v>
      </c>
      <c r="F50" s="44" t="str">
        <f>IF(LEN(VLOOKUP(A50,'Species List'!$A:$G,5,FALSE))=0,"",VLOOKUP(A50,'Species List'!$A:$G,5,FALSE))</f>
        <v>Native</v>
      </c>
      <c r="G50" s="44" t="str">
        <f>IF(LEN(VLOOKUP(A50,'Species List'!$A:$G,6,FALSE))=0,"",VLOOKUP(A50,'Species List'!$A:$G,6,FALSE))</f>
        <v>OBL</v>
      </c>
      <c r="H50" s="44">
        <f>VLOOKUP(A50,'Species List'!$A:$G,7,FALSE)</f>
        <v>0</v>
      </c>
      <c r="J50" s="127" t="s">
        <v>5392</v>
      </c>
      <c r="K50" s="47" t="str">
        <f>VLOOKUP(J50,'Species List'!$H$1:$J$9,2,FALSE)</f>
        <v>&gt;1-5%</v>
      </c>
      <c r="L50" s="47">
        <f>VLOOKUP(K50,'Species List'!$I$1:$N$8,2,FALSE)</f>
        <v>3</v>
      </c>
      <c r="M50" s="99">
        <f t="shared" si="5"/>
        <v>3</v>
      </c>
      <c r="N50" s="97">
        <f t="shared" si="7"/>
        <v>1.8808777429467086E-2</v>
      </c>
      <c r="O50" s="97">
        <f t="shared" si="6"/>
        <v>9.4043887147335428E-2</v>
      </c>
    </row>
    <row r="51" spans="1:15" ht="13.5" thickBot="1" x14ac:dyDescent="0.25">
      <c r="A51" s="125" t="s">
        <v>2803</v>
      </c>
      <c r="B51" s="44" t="str">
        <f>IF(LEN(VLOOKUP(A51,'Species List'!$A:$G,2,FALSE))=0,"",VLOOKUP(A51,'Species List'!$A:$G,2,FALSE))</f>
        <v>cut-leaved bugleweed</v>
      </c>
      <c r="C51" s="44">
        <f>IF(LEN(VLOOKUP(A51,'Species List'!$A:$G,3,FALSE))=0,"",VLOOKUP(A51,'Species List'!$A:$G,3,FALSE))</f>
        <v>4</v>
      </c>
      <c r="D51" s="98">
        <f t="shared" si="4"/>
        <v>4</v>
      </c>
      <c r="E51" s="44" t="str">
        <f>IF(LEN(VLOOKUP(A51,'Species List'!$A:$G,4,FALSE))=0,"",VLOOKUP(A51,'Species List'!$A:$G,4,FALSE))</f>
        <v>H</v>
      </c>
      <c r="F51" s="44" t="str">
        <f>IF(LEN(VLOOKUP(A51,'Species List'!$A:$G,5,FALSE))=0,"",VLOOKUP(A51,'Species List'!$A:$G,5,FALSE))</f>
        <v>Native</v>
      </c>
      <c r="G51" s="44" t="str">
        <f>IF(LEN(VLOOKUP(A51,'Species List'!$A:$G,6,FALSE))=0,"",VLOOKUP(A51,'Species List'!$A:$G,6,FALSE))</f>
        <v>OBL</v>
      </c>
      <c r="H51" s="44">
        <f>VLOOKUP(A51,'Species List'!$A:$G,7,FALSE)</f>
        <v>0</v>
      </c>
      <c r="J51" s="127" t="s">
        <v>5392</v>
      </c>
      <c r="K51" s="47" t="str">
        <f>VLOOKUP(J51,'Species List'!$H$1:$J$9,2,FALSE)</f>
        <v>&gt;1-5%</v>
      </c>
      <c r="L51" s="47">
        <f>VLOOKUP(K51,'Species List'!$I$1:$N$8,2,FALSE)</f>
        <v>3</v>
      </c>
      <c r="M51" s="99">
        <f t="shared" si="5"/>
        <v>3</v>
      </c>
      <c r="N51" s="97">
        <f t="shared" si="7"/>
        <v>1.8808777429467086E-2</v>
      </c>
      <c r="O51" s="97">
        <f t="shared" si="6"/>
        <v>7.5235109717868343E-2</v>
      </c>
    </row>
    <row r="52" spans="1:15" ht="13.5" thickBot="1" x14ac:dyDescent="0.25">
      <c r="A52" s="125" t="s">
        <v>2577</v>
      </c>
      <c r="B52" s="44" t="str">
        <f>IF(LEN(VLOOKUP(A52,'Species List'!$A:$G,2,FALSE))=0,"",VLOOKUP(A52,'Species List'!$A:$G,2,FALSE))</f>
        <v>prickly lettuce</v>
      </c>
      <c r="C52" s="44">
        <f>IF(LEN(VLOOKUP(A52,'Species List'!$A:$G,3,FALSE))=0,"",VLOOKUP(A52,'Species List'!$A:$G,3,FALSE))</f>
        <v>0</v>
      </c>
      <c r="D52" s="98">
        <f t="shared" si="4"/>
        <v>0</v>
      </c>
      <c r="E52" s="44" t="str">
        <f>IF(LEN(VLOOKUP(A52,'Species List'!$A:$G,4,FALSE))=0,"",VLOOKUP(A52,'Species List'!$A:$G,4,FALSE))</f>
        <v>H</v>
      </c>
      <c r="F52" s="44" t="str">
        <f>IF(LEN(VLOOKUP(A52,'Species List'!$A:$G,5,FALSE))=0,"",VLOOKUP(A52,'Species List'!$A:$G,5,FALSE))</f>
        <v>Introduced</v>
      </c>
      <c r="G52" s="44" t="str">
        <f>IF(LEN(VLOOKUP(A52,'Species List'!$A:$G,6,FALSE))=0,"",VLOOKUP(A52,'Species List'!$A:$G,6,FALSE))</f>
        <v>FAC</v>
      </c>
      <c r="H52" s="44">
        <f>VLOOKUP(A52,'Species List'!$A:$G,7,FALSE)</f>
        <v>0</v>
      </c>
      <c r="J52" s="127" t="s">
        <v>5392</v>
      </c>
      <c r="K52" s="47" t="str">
        <f>VLOOKUP(J52,'Species List'!$H$1:$J$9,2,FALSE)</f>
        <v>&gt;1-5%</v>
      </c>
      <c r="L52" s="47">
        <f>VLOOKUP(K52,'Species List'!$I$1:$N$8,2,FALSE)</f>
        <v>3</v>
      </c>
      <c r="M52" s="99">
        <f t="shared" si="5"/>
        <v>3</v>
      </c>
      <c r="N52" s="97">
        <f t="shared" si="7"/>
        <v>1.8808777429467086E-2</v>
      </c>
      <c r="O52" s="97">
        <f t="shared" si="6"/>
        <v>0</v>
      </c>
    </row>
    <row r="53" spans="1:15" ht="13.5" thickBot="1" x14ac:dyDescent="0.25">
      <c r="A53" s="125" t="s">
        <v>384</v>
      </c>
      <c r="B53" s="44" t="str">
        <f>IF(LEN(VLOOKUP(A53,'Species List'!$A:$G,2,FALSE))=0,"",VLOOKUP(A53,'Species List'!$A:$G,2,FALSE))</f>
        <v>canada anemone</v>
      </c>
      <c r="C53" s="44">
        <f>IF(LEN(VLOOKUP(A53,'Species List'!$A:$G,3,FALSE))=0,"",VLOOKUP(A53,'Species List'!$A:$G,3,FALSE))</f>
        <v>3</v>
      </c>
      <c r="D53" s="98">
        <f t="shared" si="4"/>
        <v>3</v>
      </c>
      <c r="E53" s="44" t="str">
        <f>IF(LEN(VLOOKUP(A53,'Species List'!$A:$G,4,FALSE))=0,"",VLOOKUP(A53,'Species List'!$A:$G,4,FALSE))</f>
        <v>H</v>
      </c>
      <c r="F53" s="44" t="str">
        <f>IF(LEN(VLOOKUP(A53,'Species List'!$A:$G,5,FALSE))=0,"",VLOOKUP(A53,'Species List'!$A:$G,5,FALSE))</f>
        <v>Native</v>
      </c>
      <c r="G53" s="44" t="str">
        <f>IF(LEN(VLOOKUP(A53,'Species List'!$A:$G,6,FALSE))=0,"",VLOOKUP(A53,'Species List'!$A:$G,6,FALSE))</f>
        <v>FACW</v>
      </c>
      <c r="H53" s="44">
        <f>VLOOKUP(A53,'Species List'!$A:$G,7,FALSE)</f>
        <v>0</v>
      </c>
      <c r="J53" s="127" t="s">
        <v>5392</v>
      </c>
      <c r="K53" s="47" t="str">
        <f>VLOOKUP(J53,'Species List'!$H$1:$J$9,2,FALSE)</f>
        <v>&gt;1-5%</v>
      </c>
      <c r="L53" s="47">
        <f>VLOOKUP(K53,'Species List'!$I$1:$N$8,2,FALSE)</f>
        <v>3</v>
      </c>
      <c r="M53" s="99">
        <f t="shared" si="5"/>
        <v>3</v>
      </c>
      <c r="N53" s="97">
        <f t="shared" si="7"/>
        <v>1.8808777429467086E-2</v>
      </c>
      <c r="O53" s="97">
        <f t="shared" si="6"/>
        <v>5.6426332288401257E-2</v>
      </c>
    </row>
    <row r="54" spans="1:15" ht="13.5" thickBot="1" x14ac:dyDescent="0.25">
      <c r="A54" s="125" t="s">
        <v>535</v>
      </c>
      <c r="B54" s="44" t="str">
        <f>IF(LEN(VLOOKUP(A54,'Species List'!$A:$G,2,FALSE))=0,"",VLOOKUP(A54,'Species List'!$A:$G,2,FALSE))</f>
        <v/>
      </c>
      <c r="C54" s="44">
        <f>IF(LEN(VLOOKUP(A54,'Species List'!$A:$G,3,FALSE))=0,"",VLOOKUP(A54,'Species List'!$A:$G,3,FALSE))</f>
        <v>5</v>
      </c>
      <c r="D54" s="98">
        <f t="shared" si="4"/>
        <v>5</v>
      </c>
      <c r="E54" s="44" t="str">
        <f>IF(LEN(VLOOKUP(A54,'Species List'!$A:$G,4,FALSE))=0,"",VLOOKUP(A54,'Species List'!$A:$G,4,FALSE))</f>
        <v>H</v>
      </c>
      <c r="F54" s="44" t="str">
        <f>IF(LEN(VLOOKUP(A54,'Species List'!$A:$G,5,FALSE))=0,"",VLOOKUP(A54,'Species List'!$A:$G,5,FALSE))</f>
        <v>Native</v>
      </c>
      <c r="G54" s="44" t="str">
        <f>IF(LEN(VLOOKUP(A54,'Species List'!$A:$G,6,FALSE))=0,"",VLOOKUP(A54,'Species List'!$A:$G,6,FALSE))</f>
        <v>OBL</v>
      </c>
      <c r="H54" s="44">
        <f>VLOOKUP(A54,'Species List'!$A:$G,7,FALSE)</f>
        <v>0</v>
      </c>
      <c r="J54" s="127" t="s">
        <v>5394</v>
      </c>
      <c r="K54" s="47" t="str">
        <f>VLOOKUP(J54,'Species List'!$H$1:$J$9,2,FALSE)</f>
        <v>&gt;0-1%</v>
      </c>
      <c r="L54" s="47">
        <f>VLOOKUP(K54,'Species List'!$I$1:$N$8,2,FALSE)</f>
        <v>0.5</v>
      </c>
      <c r="M54" s="99">
        <f t="shared" si="5"/>
        <v>0.5</v>
      </c>
      <c r="N54" s="97">
        <f t="shared" si="7"/>
        <v>3.134796238244514E-3</v>
      </c>
      <c r="O54" s="97">
        <f t="shared" si="6"/>
        <v>1.5673981191222569E-2</v>
      </c>
    </row>
    <row r="55" spans="1:15" ht="13.5" thickBot="1" x14ac:dyDescent="0.25">
      <c r="A55" s="125" t="s">
        <v>5427</v>
      </c>
      <c r="B55" s="44" t="str">
        <f>IF(LEN(VLOOKUP(A55,'Species List'!$A:$G,2,FALSE))=0,"",VLOOKUP(A55,'Species List'!$A:$G,2,FALSE))</f>
        <v/>
      </c>
      <c r="C55" s="44">
        <f>IF(LEN(VLOOKUP(A55,'Species List'!$A:$G,3,FALSE))=0,"",VLOOKUP(A55,'Species List'!$A:$G,3,FALSE))</f>
        <v>2</v>
      </c>
      <c r="D55" s="98">
        <f t="shared" si="4"/>
        <v>2</v>
      </c>
      <c r="E55" s="44" t="str">
        <f>IF(LEN(VLOOKUP(A55,'Species List'!$A:$G,4,FALSE))=0,"",VLOOKUP(A55,'Species List'!$A:$G,4,FALSE))</f>
        <v>H</v>
      </c>
      <c r="F55" s="44" t="str">
        <f>IF(LEN(VLOOKUP(A55,'Species List'!$A:$G,5,FALSE))=0,"",VLOOKUP(A55,'Species List'!$A:$G,5,FALSE))</f>
        <v>Native</v>
      </c>
      <c r="G55" s="44" t="str">
        <f>IF(LEN(VLOOKUP(A55,'Species List'!$A:$G,6,FALSE))=0,"",VLOOKUP(A55,'Species List'!$A:$G,6,FALSE))</f>
        <v/>
      </c>
      <c r="H55" s="44">
        <f>VLOOKUP(A55,'Species List'!$A:$G,7,FALSE)</f>
        <v>0</v>
      </c>
      <c r="J55" s="127" t="s">
        <v>5392</v>
      </c>
      <c r="K55" s="47" t="str">
        <f>VLOOKUP(J55,'Species List'!$H$1:$J$9,2,FALSE)</f>
        <v>&gt;1-5%</v>
      </c>
      <c r="L55" s="47">
        <f>VLOOKUP(K55,'Species List'!$I$1:$N$8,2,FALSE)</f>
        <v>3</v>
      </c>
      <c r="M55" s="99">
        <f t="shared" si="5"/>
        <v>3</v>
      </c>
      <c r="N55" s="97">
        <f t="shared" si="7"/>
        <v>1.8808777429467086E-2</v>
      </c>
      <c r="O55" s="97">
        <f t="shared" si="6"/>
        <v>3.7617554858934171E-2</v>
      </c>
    </row>
    <row r="56" spans="1:15" ht="13.5" thickBot="1" x14ac:dyDescent="0.25">
      <c r="A56" s="125" t="s">
        <v>5460</v>
      </c>
      <c r="B56" s="44" t="e">
        <f>IF(LEN(VLOOKUP(A56,'Species List'!$A:$G,2,FALSE))=0,"",VLOOKUP(A56,'Species List'!$A:$G,2,FALSE))</f>
        <v>#N/A</v>
      </c>
      <c r="C56" s="44">
        <v>3</v>
      </c>
      <c r="D56" s="98">
        <f t="shared" si="4"/>
        <v>3</v>
      </c>
      <c r="E56" s="44" t="s">
        <v>149</v>
      </c>
      <c r="F56" s="44" t="s">
        <v>147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127">
        <v>1</v>
      </c>
      <c r="K56" s="47" t="str">
        <f>VLOOKUP(J56,'Species List'!$H$1:$J$9,2,FALSE)</f>
        <v>&gt;1-5%</v>
      </c>
      <c r="L56" s="47">
        <f>VLOOKUP(K56,'Species List'!$I$1:$N$8,2,FALSE)</f>
        <v>3</v>
      </c>
      <c r="M56" s="99">
        <f t="shared" si="5"/>
        <v>3</v>
      </c>
      <c r="N56" s="97">
        <f t="shared" si="7"/>
        <v>1.8808777429467086E-2</v>
      </c>
      <c r="O56" s="97">
        <f t="shared" si="6"/>
        <v>5.6426332288401257E-2</v>
      </c>
    </row>
    <row r="57" spans="1:15" ht="13.5" thickBot="1" x14ac:dyDescent="0.25">
      <c r="A57" s="125" t="s">
        <v>4481</v>
      </c>
      <c r="B57" s="44" t="str">
        <f>IF(LEN(VLOOKUP(A57,'Species List'!$A:$G,2,FALSE))=0,"",VLOOKUP(A57,'Species List'!$A:$G,2,FALSE))</f>
        <v/>
      </c>
      <c r="C57" s="44">
        <f>IF(LEN(VLOOKUP(A57,'Species List'!$A:$G,3,FALSE))=0,"",VLOOKUP(A57,'Species List'!$A:$G,3,FALSE))</f>
        <v>7</v>
      </c>
      <c r="D57" s="98">
        <f t="shared" si="4"/>
        <v>7</v>
      </c>
      <c r="E57" s="44" t="str">
        <f>IF(LEN(VLOOKUP(A57,'Species List'!$A:$G,4,FALSE))=0,"",VLOOKUP(A57,'Species List'!$A:$G,4,FALSE))</f>
        <v>H</v>
      </c>
      <c r="F57" s="44" t="str">
        <f>IF(LEN(VLOOKUP(A57,'Species List'!$A:$G,5,FALSE))=0,"",VLOOKUP(A57,'Species List'!$A:$G,5,FALSE))</f>
        <v>Native</v>
      </c>
      <c r="G57" s="44" t="str">
        <f>IF(LEN(VLOOKUP(A57,'Species List'!$A:$G,6,FALSE))=0,"",VLOOKUP(A57,'Species List'!$A:$G,6,FALSE))</f>
        <v>OBL</v>
      </c>
      <c r="H57" s="44">
        <f>VLOOKUP(A57,'Species List'!$A:$G,7,FALSE)</f>
        <v>0</v>
      </c>
      <c r="J57" s="127" t="s">
        <v>5392</v>
      </c>
      <c r="K57" s="47" t="str">
        <f>VLOOKUP(J57,'Species List'!$H$1:$J$9,2,FALSE)</f>
        <v>&gt;1-5%</v>
      </c>
      <c r="L57" s="47">
        <f>VLOOKUP(K57,'Species List'!$I$1:$N$8,2,FALSE)</f>
        <v>3</v>
      </c>
      <c r="M57" s="99">
        <f t="shared" si="5"/>
        <v>3</v>
      </c>
      <c r="N57" s="97">
        <f t="shared" si="7"/>
        <v>1.8808777429467086E-2</v>
      </c>
      <c r="O57" s="97">
        <f t="shared" si="6"/>
        <v>0.13166144200626961</v>
      </c>
    </row>
    <row r="58" spans="1:15" ht="13.5" thickBot="1" x14ac:dyDescent="0.25">
      <c r="A58" s="125" t="s">
        <v>3241</v>
      </c>
      <c r="B58" s="44" t="str">
        <f>IF(LEN(VLOOKUP(A58,'Species List'!$A:$G,2,FALSE))=0,"",VLOOKUP(A58,'Species List'!$A:$G,2,FALSE))</f>
        <v>ditch stonecrop</v>
      </c>
      <c r="C58" s="44">
        <f>IF(LEN(VLOOKUP(A58,'Species List'!$A:$G,3,FALSE))=0,"",VLOOKUP(A58,'Species List'!$A:$G,3,FALSE))</f>
        <v>3</v>
      </c>
      <c r="D58" s="98">
        <f t="shared" si="4"/>
        <v>3</v>
      </c>
      <c r="E58" s="44" t="str">
        <f>IF(LEN(VLOOKUP(A58,'Species List'!$A:$G,4,FALSE))=0,"",VLOOKUP(A58,'Species List'!$A:$G,4,FALSE))</f>
        <v>H</v>
      </c>
      <c r="F58" s="44" t="str">
        <f>IF(LEN(VLOOKUP(A58,'Species List'!$A:$G,5,FALSE))=0,"",VLOOKUP(A58,'Species List'!$A:$G,5,FALSE))</f>
        <v>Native</v>
      </c>
      <c r="G58" s="44" t="str">
        <f>IF(LEN(VLOOKUP(A58,'Species List'!$A:$G,6,FALSE))=0,"",VLOOKUP(A58,'Species List'!$A:$G,6,FALSE))</f>
        <v>OBL</v>
      </c>
      <c r="H58" s="44">
        <f>VLOOKUP(A58,'Species List'!$A:$G,7,FALSE)</f>
        <v>0</v>
      </c>
      <c r="J58" s="127" t="s">
        <v>5392</v>
      </c>
      <c r="K58" s="47" t="str">
        <f>VLOOKUP(J58,'Species List'!$H$1:$J$9,2,FALSE)</f>
        <v>&gt;1-5%</v>
      </c>
      <c r="L58" s="47">
        <f>VLOOKUP(K58,'Species List'!$I$1:$N$8,2,FALSE)</f>
        <v>3</v>
      </c>
      <c r="M58" s="99">
        <f t="shared" si="5"/>
        <v>3</v>
      </c>
      <c r="N58" s="97">
        <f t="shared" si="7"/>
        <v>1.8808777429467086E-2</v>
      </c>
      <c r="O58" s="97">
        <f t="shared" si="6"/>
        <v>5.6426332288401257E-2</v>
      </c>
    </row>
    <row r="59" spans="1:15" ht="13.5" thickBot="1" x14ac:dyDescent="0.25">
      <c r="A59" s="125" t="s">
        <v>2914</v>
      </c>
      <c r="B59" s="44" t="str">
        <f>IF(LEN(VLOOKUP(A59,'Species List'!$A:$G,2,FALSE))=0,"",VLOOKUP(A59,'Species List'!$A:$G,2,FALSE))</f>
        <v/>
      </c>
      <c r="C59" s="44">
        <f>IF(LEN(VLOOKUP(A59,'Species List'!$A:$G,3,FALSE))=0,"",VLOOKUP(A59,'Species List'!$A:$G,3,FALSE))</f>
        <v>6</v>
      </c>
      <c r="D59" s="98">
        <f t="shared" si="4"/>
        <v>6</v>
      </c>
      <c r="E59" s="44" t="str">
        <f>IF(LEN(VLOOKUP(A59,'Species List'!$A:$G,4,FALSE))=0,"",VLOOKUP(A59,'Species List'!$A:$G,4,FALSE))</f>
        <v>H</v>
      </c>
      <c r="F59" s="44" t="str">
        <f>IF(LEN(VLOOKUP(A59,'Species List'!$A:$G,5,FALSE))=0,"",VLOOKUP(A59,'Species List'!$A:$G,5,FALSE))</f>
        <v>Native</v>
      </c>
      <c r="G59" s="44" t="str">
        <f>IF(LEN(VLOOKUP(A59,'Species List'!$A:$G,6,FALSE))=0,"",VLOOKUP(A59,'Species List'!$A:$G,6,FALSE))</f>
        <v>OBL</v>
      </c>
      <c r="H59" s="44">
        <f>VLOOKUP(A59,'Species List'!$A:$G,7,FALSE)</f>
        <v>0</v>
      </c>
      <c r="J59" s="127" t="s">
        <v>5394</v>
      </c>
      <c r="K59" s="47" t="str">
        <f>VLOOKUP(J59,'Species List'!$H$1:$J$9,2,FALSE)</f>
        <v>&gt;0-1%</v>
      </c>
      <c r="L59" s="47">
        <f>VLOOKUP(K59,'Species List'!$I$1:$N$8,2,FALSE)</f>
        <v>0.5</v>
      </c>
      <c r="M59" s="99">
        <f t="shared" si="5"/>
        <v>0.5</v>
      </c>
      <c r="N59" s="97">
        <f t="shared" si="7"/>
        <v>3.134796238244514E-3</v>
      </c>
      <c r="O59" s="97">
        <f t="shared" si="6"/>
        <v>1.8808777429467086E-2</v>
      </c>
    </row>
    <row r="60" spans="1:15" ht="13.5" thickBot="1" x14ac:dyDescent="0.25">
      <c r="A60" s="125" t="s">
        <v>1911</v>
      </c>
      <c r="B60" s="44" t="str">
        <f>IF(LEN(VLOOKUP(A60,'Species List'!$A:$G,2,FALSE))=0,"",VLOOKUP(A60,'Species List'!$A:$G,2,FALSE))</f>
        <v>purple-leaved willow herb</v>
      </c>
      <c r="C60" s="44">
        <f>IF(LEN(VLOOKUP(A60,'Species List'!$A:$G,3,FALSE))=0,"",VLOOKUP(A60,'Species List'!$A:$G,3,FALSE))</f>
        <v>3</v>
      </c>
      <c r="D60" s="98">
        <f t="shared" si="4"/>
        <v>3</v>
      </c>
      <c r="E60" s="44" t="str">
        <f>IF(LEN(VLOOKUP(A60,'Species List'!$A:$G,4,FALSE))=0,"",VLOOKUP(A60,'Species List'!$A:$G,4,FALSE))</f>
        <v>H</v>
      </c>
      <c r="F60" s="44" t="str">
        <f>IF(LEN(VLOOKUP(A60,'Species List'!$A:$G,5,FALSE))=0,"",VLOOKUP(A60,'Species List'!$A:$G,5,FALSE))</f>
        <v>Native</v>
      </c>
      <c r="G60" s="44" t="str">
        <f>IF(LEN(VLOOKUP(A60,'Species List'!$A:$G,6,FALSE))=0,"",VLOOKUP(A60,'Species List'!$A:$G,6,FALSE))</f>
        <v>OBL</v>
      </c>
      <c r="H60" s="44">
        <f>VLOOKUP(A60,'Species List'!$A:$G,7,FALSE)</f>
        <v>0</v>
      </c>
      <c r="J60" s="127" t="s">
        <v>5392</v>
      </c>
      <c r="K60" s="47" t="str">
        <f>VLOOKUP(J60,'Species List'!$H$1:$J$9,2,FALSE)</f>
        <v>&gt;1-5%</v>
      </c>
      <c r="L60" s="47">
        <f>VLOOKUP(K60,'Species List'!$I$1:$N$8,2,FALSE)</f>
        <v>3</v>
      </c>
      <c r="M60" s="99">
        <f t="shared" si="5"/>
        <v>3</v>
      </c>
      <c r="N60" s="97">
        <f t="shared" si="7"/>
        <v>1.8808777429467086E-2</v>
      </c>
      <c r="O60" s="97">
        <f t="shared" si="6"/>
        <v>5.6426332288401257E-2</v>
      </c>
    </row>
    <row r="61" spans="1:15" ht="13.5" thickBot="1" x14ac:dyDescent="0.25">
      <c r="A61" s="125" t="s">
        <v>4085</v>
      </c>
      <c r="B61" s="44" t="str">
        <f>IF(LEN(VLOOKUP(A61,'Species List'!$A:$G,2,FALSE))=0,"",VLOOKUP(A61,'Species List'!$A:$G,2,FALSE))</f>
        <v>mad dog skullcap</v>
      </c>
      <c r="C61" s="44">
        <f>IF(LEN(VLOOKUP(A61,'Species List'!$A:$G,3,FALSE))=0,"",VLOOKUP(A61,'Species List'!$A:$G,3,FALSE))</f>
        <v>5</v>
      </c>
      <c r="D61" s="98">
        <f t="shared" si="4"/>
        <v>5</v>
      </c>
      <c r="E61" s="44" t="str">
        <f>IF(LEN(VLOOKUP(A61,'Species List'!$A:$G,4,FALSE))=0,"",VLOOKUP(A61,'Species List'!$A:$G,4,FALSE))</f>
        <v>H</v>
      </c>
      <c r="F61" s="44" t="str">
        <f>IF(LEN(VLOOKUP(A61,'Species List'!$A:$G,5,FALSE))=0,"",VLOOKUP(A61,'Species List'!$A:$G,5,FALSE))</f>
        <v>Native</v>
      </c>
      <c r="G61" s="44" t="str">
        <f>IF(LEN(VLOOKUP(A61,'Species List'!$A:$G,6,FALSE))=0,"",VLOOKUP(A61,'Species List'!$A:$G,6,FALSE))</f>
        <v>OBL</v>
      </c>
      <c r="H61" s="44">
        <f>VLOOKUP(A61,'Species List'!$A:$G,7,FALSE)</f>
        <v>0</v>
      </c>
      <c r="J61" s="127" t="s">
        <v>5392</v>
      </c>
      <c r="K61" s="47" t="str">
        <f>VLOOKUP(J61,'Species List'!$H$1:$J$9,2,FALSE)</f>
        <v>&gt;1-5%</v>
      </c>
      <c r="L61" s="47">
        <f>VLOOKUP(K61,'Species List'!$I$1:$N$8,2,FALSE)</f>
        <v>3</v>
      </c>
      <c r="M61" s="99">
        <f t="shared" si="5"/>
        <v>3</v>
      </c>
      <c r="N61" s="97">
        <f t="shared" si="7"/>
        <v>1.8808777429467086E-2</v>
      </c>
      <c r="O61" s="97">
        <f t="shared" si="6"/>
        <v>9.4043887147335428E-2</v>
      </c>
    </row>
    <row r="62" spans="1:15" ht="13.5" thickBot="1" x14ac:dyDescent="0.25">
      <c r="A62" s="125" t="s">
        <v>5461</v>
      </c>
      <c r="B62" s="44" t="e">
        <f>IF(LEN(VLOOKUP(A62,'Species List'!$A:$G,2,FALSE))=0,"",VLOOKUP(A62,'Species List'!$A:$G,2,FALSE))</f>
        <v>#N/A</v>
      </c>
      <c r="C62" s="44">
        <v>1</v>
      </c>
      <c r="D62" s="98">
        <f t="shared" si="4"/>
        <v>1</v>
      </c>
      <c r="E62" s="44" t="s">
        <v>149</v>
      </c>
      <c r="F62" s="44" t="s">
        <v>147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127" t="s">
        <v>5394</v>
      </c>
      <c r="K62" s="47" t="str">
        <f>VLOOKUP(J62,'Species List'!$H$1:$J$9,2,FALSE)</f>
        <v>&gt;0-1%</v>
      </c>
      <c r="L62" s="47">
        <f>VLOOKUP(K62,'Species List'!$I$1:$N$8,2,FALSE)</f>
        <v>0.5</v>
      </c>
      <c r="M62" s="99">
        <f t="shared" si="5"/>
        <v>0.5</v>
      </c>
      <c r="N62" s="97">
        <f t="shared" si="7"/>
        <v>3.134796238244514E-3</v>
      </c>
      <c r="O62" s="97">
        <f t="shared" si="6"/>
        <v>3.134796238244514E-3</v>
      </c>
    </row>
    <row r="63" spans="1:15" ht="13.5" thickBot="1" x14ac:dyDescent="0.25">
      <c r="A63" s="125" t="s">
        <v>4642</v>
      </c>
      <c r="B63" s="44" t="str">
        <f>IF(LEN(VLOOKUP(A63,'Species List'!$A:$G,2,FALSE))=0,"",VLOOKUP(A63,'Species List'!$A:$G,2,FALSE))</f>
        <v>common mullein</v>
      </c>
      <c r="C63" s="44">
        <f>IF(LEN(VLOOKUP(A63,'Species List'!$A:$G,3,FALSE))=0,"",VLOOKUP(A63,'Species List'!$A:$G,3,FALSE))</f>
        <v>0</v>
      </c>
      <c r="D63" s="98">
        <f t="shared" si="4"/>
        <v>0</v>
      </c>
      <c r="E63" s="44" t="str">
        <f>IF(LEN(VLOOKUP(A63,'Species List'!$A:$G,4,FALSE))=0,"",VLOOKUP(A63,'Species List'!$A:$G,4,FALSE))</f>
        <v>H</v>
      </c>
      <c r="F63" s="44" t="str">
        <f>IF(LEN(VLOOKUP(A63,'Species List'!$A:$G,5,FALSE))=0,"",VLOOKUP(A63,'Species List'!$A:$G,5,FALSE))</f>
        <v>Introduced</v>
      </c>
      <c r="G63" s="44" t="str">
        <f>IF(LEN(VLOOKUP(A63,'Species List'!$A:$G,6,FALSE))=0,"",VLOOKUP(A63,'Species List'!$A:$G,6,FALSE))</f>
        <v>UPL</v>
      </c>
      <c r="H63" s="44">
        <f>VLOOKUP(A63,'Species List'!$A:$G,7,FALSE)</f>
        <v>0</v>
      </c>
      <c r="J63" s="127" t="s">
        <v>5394</v>
      </c>
      <c r="K63" s="47" t="str">
        <f>VLOOKUP(J63,'Species List'!$H$1:$J$9,2,FALSE)</f>
        <v>&gt;0-1%</v>
      </c>
      <c r="L63" s="47">
        <f>VLOOKUP(K63,'Species List'!$I$1:$N$8,2,FALSE)</f>
        <v>0.5</v>
      </c>
      <c r="M63" s="99">
        <f t="shared" si="5"/>
        <v>0.5</v>
      </c>
      <c r="N63" s="97">
        <f t="shared" si="7"/>
        <v>3.134796238244514E-3</v>
      </c>
      <c r="O63" s="97">
        <f t="shared" si="6"/>
        <v>0</v>
      </c>
    </row>
    <row r="64" spans="1:15" ht="13.5" thickBot="1" x14ac:dyDescent="0.25">
      <c r="A64" s="125" t="s">
        <v>2132</v>
      </c>
      <c r="B64" s="44" t="str">
        <f>IF(LEN(VLOOKUP(A64,'Species List'!$A:$G,2,FALSE))=0,"",VLOOKUP(A64,'Species List'!$A:$G,2,FALSE))</f>
        <v>common strawberry</v>
      </c>
      <c r="C64" s="44">
        <f>IF(LEN(VLOOKUP(A64,'Species List'!$A:$G,3,FALSE))=0,"",VLOOKUP(A64,'Species List'!$A:$G,3,FALSE))</f>
        <v>2</v>
      </c>
      <c r="D64" s="98">
        <f t="shared" si="4"/>
        <v>2</v>
      </c>
      <c r="E64" s="44" t="str">
        <f>IF(LEN(VLOOKUP(A64,'Species List'!$A:$G,4,FALSE))=0,"",VLOOKUP(A64,'Species List'!$A:$G,4,FALSE))</f>
        <v>H</v>
      </c>
      <c r="F64" s="44" t="str">
        <f>IF(LEN(VLOOKUP(A64,'Species List'!$A:$G,5,FALSE))=0,"",VLOOKUP(A64,'Species List'!$A:$G,5,FALSE))</f>
        <v>Native</v>
      </c>
      <c r="G64" s="44" t="str">
        <f>IF(LEN(VLOOKUP(A64,'Species List'!$A:$G,6,FALSE))=0,"",VLOOKUP(A64,'Species List'!$A:$G,6,FALSE))</f>
        <v>FAC-</v>
      </c>
      <c r="H64" s="44">
        <f>VLOOKUP(A64,'Species List'!$A:$G,7,FALSE)</f>
        <v>0</v>
      </c>
      <c r="J64" s="127" t="s">
        <v>5392</v>
      </c>
      <c r="K64" s="47" t="str">
        <f>VLOOKUP(J64,'Species List'!$H$1:$J$9,2,FALSE)</f>
        <v>&gt;1-5%</v>
      </c>
      <c r="L64" s="47">
        <f>VLOOKUP(K64,'Species List'!$I$1:$N$8,2,FALSE)</f>
        <v>3</v>
      </c>
      <c r="M64" s="99">
        <f t="shared" si="5"/>
        <v>3</v>
      </c>
      <c r="N64" s="97">
        <f t="shared" si="7"/>
        <v>1.8808777429467086E-2</v>
      </c>
      <c r="O64" s="97">
        <f t="shared" si="6"/>
        <v>3.7617554858934171E-2</v>
      </c>
    </row>
    <row r="65" spans="1:15" ht="13.5" thickBot="1" x14ac:dyDescent="0.25">
      <c r="A65" s="125" t="s">
        <v>2457</v>
      </c>
      <c r="B65" s="44" t="str">
        <f>IF(LEN(VLOOKUP(A65,'Species List'!$A:$G,2,FALSE))=0,"",VLOOKUP(A65,'Species List'!$A:$G,2,FALSE))</f>
        <v>large St. John's-wort</v>
      </c>
      <c r="C65" s="44">
        <f>IF(LEN(VLOOKUP(A65,'Species List'!$A:$G,3,FALSE))=0,"",VLOOKUP(A65,'Species List'!$A:$G,3,FALSE))</f>
        <v>5</v>
      </c>
      <c r="D65" s="98">
        <f t="shared" si="4"/>
        <v>5</v>
      </c>
      <c r="E65" s="44" t="str">
        <f>IF(LEN(VLOOKUP(A65,'Species List'!$A:$G,4,FALSE))=0,"",VLOOKUP(A65,'Species List'!$A:$G,4,FALSE))</f>
        <v>H</v>
      </c>
      <c r="F65" s="44" t="str">
        <f>IF(LEN(VLOOKUP(A65,'Species List'!$A:$G,5,FALSE))=0,"",VLOOKUP(A65,'Species List'!$A:$G,5,FALSE))</f>
        <v>Native</v>
      </c>
      <c r="G65" s="44" t="str">
        <f>IF(LEN(VLOOKUP(A65,'Species List'!$A:$G,6,FALSE))=0,"",VLOOKUP(A65,'Species List'!$A:$G,6,FALSE))</f>
        <v>FACW</v>
      </c>
      <c r="H65" s="44">
        <f>VLOOKUP(A65,'Species List'!$A:$G,7,FALSE)</f>
        <v>0</v>
      </c>
      <c r="J65" s="127" t="s">
        <v>5394</v>
      </c>
      <c r="K65" s="47" t="str">
        <f>VLOOKUP(J65,'Species List'!$H$1:$J$9,2,FALSE)</f>
        <v>&gt;0-1%</v>
      </c>
      <c r="L65" s="47">
        <f>VLOOKUP(K65,'Species List'!$I$1:$N$8,2,FALSE)</f>
        <v>0.5</v>
      </c>
      <c r="M65" s="99">
        <f t="shared" si="5"/>
        <v>0.5</v>
      </c>
      <c r="N65" s="97">
        <f t="shared" si="7"/>
        <v>3.134796238244514E-3</v>
      </c>
      <c r="O65" s="97">
        <f t="shared" si="6"/>
        <v>1.5673981191222569E-2</v>
      </c>
    </row>
    <row r="66" spans="1:15" ht="13.5" thickBot="1" x14ac:dyDescent="0.25">
      <c r="A66" s="125" t="s">
        <v>3604</v>
      </c>
      <c r="B66" s="44" t="str">
        <f>IF(LEN(VLOOKUP(A66,'Species List'!$A:$G,2,FALSE))=0,"",VLOOKUP(A66,'Species List'!$A:$G,2,FALSE))</f>
        <v>rough cinquefoil</v>
      </c>
      <c r="C66" s="44">
        <f>IF(LEN(VLOOKUP(A66,'Species List'!$A:$G,3,FALSE))=0,"",VLOOKUP(A66,'Species List'!$A:$G,3,FALSE))</f>
        <v>1</v>
      </c>
      <c r="D66" s="98">
        <f t="shared" si="4"/>
        <v>1</v>
      </c>
      <c r="E66" s="44" t="str">
        <f>IF(LEN(VLOOKUP(A66,'Species List'!$A:$G,4,FALSE))=0,"",VLOOKUP(A66,'Species List'!$A:$G,4,FALSE))</f>
        <v>H</v>
      </c>
      <c r="F66" s="44" t="str">
        <f>IF(LEN(VLOOKUP(A66,'Species List'!$A:$G,5,FALSE))=0,"",VLOOKUP(A66,'Species List'!$A:$G,5,FALSE))</f>
        <v>Native</v>
      </c>
      <c r="G66" s="44" t="str">
        <f>IF(LEN(VLOOKUP(A66,'Species List'!$A:$G,6,FALSE))=0,"",VLOOKUP(A66,'Species List'!$A:$G,6,FALSE))</f>
        <v>[FAC]</v>
      </c>
      <c r="H66" s="44">
        <f>VLOOKUP(A66,'Species List'!$A:$G,7,FALSE)</f>
        <v>0</v>
      </c>
      <c r="J66" s="127" t="s">
        <v>5394</v>
      </c>
      <c r="K66" s="47" t="str">
        <f>VLOOKUP(J66,'Species List'!$H$1:$J$9,2,FALSE)</f>
        <v>&gt;0-1%</v>
      </c>
      <c r="L66" s="47">
        <f>VLOOKUP(K66,'Species List'!$I$1:$N$8,2,FALSE)</f>
        <v>0.5</v>
      </c>
      <c r="M66" s="99">
        <f t="shared" si="5"/>
        <v>0.5</v>
      </c>
      <c r="N66" s="97">
        <f t="shared" si="7"/>
        <v>3.134796238244514E-3</v>
      </c>
      <c r="O66" s="97">
        <f t="shared" si="6"/>
        <v>3.134796238244514E-3</v>
      </c>
    </row>
    <row r="67" spans="1:15" ht="13.5" thickBot="1" x14ac:dyDescent="0.25">
      <c r="A67" s="125" t="s">
        <v>4466</v>
      </c>
      <c r="B67" s="44" t="str">
        <f>IF(LEN(VLOOKUP(A67,'Species List'!$A:$G,2,FALSE))=0,"",VLOOKUP(A67,'Species List'!$A:$G,2,FALSE))</f>
        <v>germander</v>
      </c>
      <c r="C67" s="44">
        <f>IF(LEN(VLOOKUP(A67,'Species List'!$A:$G,3,FALSE))=0,"",VLOOKUP(A67,'Species List'!$A:$G,3,FALSE))</f>
        <v>4</v>
      </c>
      <c r="D67" s="98">
        <f t="shared" si="4"/>
        <v>4</v>
      </c>
      <c r="E67" s="44" t="str">
        <f>IF(LEN(VLOOKUP(A67,'Species List'!$A:$G,4,FALSE))=0,"",VLOOKUP(A67,'Species List'!$A:$G,4,FALSE))</f>
        <v>H</v>
      </c>
      <c r="F67" s="44" t="str">
        <f>IF(LEN(VLOOKUP(A67,'Species List'!$A:$G,5,FALSE))=0,"",VLOOKUP(A67,'Species List'!$A:$G,5,FALSE))</f>
        <v>Native</v>
      </c>
      <c r="G67" s="44" t="str">
        <f>IF(LEN(VLOOKUP(A67,'Species List'!$A:$G,6,FALSE))=0,"",VLOOKUP(A67,'Species List'!$A:$G,6,FALSE))</f>
        <v>FACW-</v>
      </c>
      <c r="H67" s="44">
        <f>VLOOKUP(A67,'Species List'!$A:$G,7,FALSE)</f>
        <v>0</v>
      </c>
      <c r="J67" s="127" t="s">
        <v>5394</v>
      </c>
      <c r="K67" s="47" t="str">
        <f>VLOOKUP(J67,'Species List'!$H$1:$J$9,2,FALSE)</f>
        <v>&gt;0-1%</v>
      </c>
      <c r="L67" s="47">
        <f>VLOOKUP(K67,'Species List'!$I$1:$N$8,2,FALSE)</f>
        <v>0.5</v>
      </c>
      <c r="M67" s="99">
        <f t="shared" si="5"/>
        <v>0.5</v>
      </c>
      <c r="N67" s="97">
        <f t="shared" si="7"/>
        <v>3.134796238244514E-3</v>
      </c>
      <c r="O67" s="97">
        <f t="shared" si="6"/>
        <v>1.2539184952978056E-2</v>
      </c>
    </row>
    <row r="68" spans="1:15" ht="13.5" thickBot="1" x14ac:dyDescent="0.25">
      <c r="A68" s="125" t="s">
        <v>4079</v>
      </c>
      <c r="B68" s="44" t="str">
        <f>IF(LEN(VLOOKUP(A68,'Species List'!$A:$G,2,FALSE))=0,"",VLOOKUP(A68,'Species List'!$A:$G,2,FALSE))</f>
        <v>lance-leaved figwort</v>
      </c>
      <c r="C68" s="44">
        <f>IF(LEN(VLOOKUP(A68,'Species List'!$A:$G,3,FALSE))=0,"",VLOOKUP(A68,'Species List'!$A:$G,3,FALSE))</f>
        <v>4</v>
      </c>
      <c r="D68" s="98">
        <f t="shared" si="4"/>
        <v>4</v>
      </c>
      <c r="E68" s="44" t="str">
        <f>IF(LEN(VLOOKUP(A68,'Species List'!$A:$G,4,FALSE))=0,"",VLOOKUP(A68,'Species List'!$A:$G,4,FALSE))</f>
        <v>H</v>
      </c>
      <c r="F68" s="44" t="str">
        <f>IF(LEN(VLOOKUP(A68,'Species List'!$A:$G,5,FALSE))=0,"",VLOOKUP(A68,'Species List'!$A:$G,5,FALSE))</f>
        <v>Native</v>
      </c>
      <c r="G68" s="44" t="str">
        <f>IF(LEN(VLOOKUP(A68,'Species List'!$A:$G,6,FALSE))=0,"",VLOOKUP(A68,'Species List'!$A:$G,6,FALSE))</f>
        <v>FACU+</v>
      </c>
      <c r="H68" s="44">
        <f>VLOOKUP(A68,'Species List'!$A:$G,7,FALSE)</f>
        <v>0</v>
      </c>
      <c r="J68" s="127" t="s">
        <v>5394</v>
      </c>
      <c r="K68" s="47" t="str">
        <f>VLOOKUP(J68,'Species List'!$H$1:$J$9,2,FALSE)</f>
        <v>&gt;0-1%</v>
      </c>
      <c r="L68" s="47">
        <f>VLOOKUP(K68,'Species List'!$I$1:$N$8,2,FALSE)</f>
        <v>0.5</v>
      </c>
      <c r="M68" s="99">
        <f t="shared" si="5"/>
        <v>0.5</v>
      </c>
      <c r="N68" s="97">
        <f t="shared" si="7"/>
        <v>3.134796238244514E-3</v>
      </c>
      <c r="O68" s="97">
        <f t="shared" si="6"/>
        <v>1.2539184952978056E-2</v>
      </c>
    </row>
    <row r="69" spans="1:15" ht="13.5" thickBot="1" x14ac:dyDescent="0.25">
      <c r="A69" s="125" t="s">
        <v>3132</v>
      </c>
      <c r="B69" s="44" t="str">
        <f>IF(LEN(VLOOKUP(A69,'Species List'!$A:$G,2,FALSE))=0,"",VLOOKUP(A69,'Species List'!$A:$G,2,FALSE))</f>
        <v>interrupted fern</v>
      </c>
      <c r="C69" s="44">
        <f>IF(LEN(VLOOKUP(A69,'Species List'!$A:$G,3,FALSE))=0,"",VLOOKUP(A69,'Species List'!$A:$G,3,FALSE))</f>
        <v>6</v>
      </c>
      <c r="D69" s="98">
        <f t="shared" si="4"/>
        <v>6</v>
      </c>
      <c r="E69" s="44" t="str">
        <f>IF(LEN(VLOOKUP(A69,'Species List'!$A:$G,4,FALSE))=0,"",VLOOKUP(A69,'Species List'!$A:$G,4,FALSE))</f>
        <v>H</v>
      </c>
      <c r="F69" s="44" t="str">
        <f>IF(LEN(VLOOKUP(A69,'Species List'!$A:$G,5,FALSE))=0,"",VLOOKUP(A69,'Species List'!$A:$G,5,FALSE))</f>
        <v>Native</v>
      </c>
      <c r="G69" s="44" t="str">
        <f>IF(LEN(VLOOKUP(A69,'Species List'!$A:$G,6,FALSE))=0,"",VLOOKUP(A69,'Species List'!$A:$G,6,FALSE))</f>
        <v>FAC+</v>
      </c>
      <c r="H69" s="44">
        <f>VLOOKUP(A69,'Species List'!$A:$G,7,FALSE)</f>
        <v>0</v>
      </c>
      <c r="J69" s="127" t="s">
        <v>5392</v>
      </c>
      <c r="K69" s="47" t="str">
        <f>VLOOKUP(J69,'Species List'!$H$1:$J$9,2,FALSE)</f>
        <v>&gt;1-5%</v>
      </c>
      <c r="L69" s="47">
        <f>VLOOKUP(K69,'Species List'!$I$1:$N$8,2,FALSE)</f>
        <v>3</v>
      </c>
      <c r="M69" s="99">
        <f t="shared" si="5"/>
        <v>3</v>
      </c>
      <c r="N69" s="97">
        <f t="shared" si="7"/>
        <v>1.8808777429467086E-2</v>
      </c>
      <c r="O69" s="97">
        <f t="shared" si="6"/>
        <v>0.11285266457680251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0" t="s">
        <v>5361</v>
      </c>
      <c r="J150" s="151"/>
      <c r="K150" s="152"/>
      <c r="L150" s="63">
        <f>SUMIF(L10:L149,"&gt;=0")</f>
        <v>159.5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I15" sqref="I15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9"/>
      <c r="C7" s="149"/>
      <c r="D7" s="149"/>
      <c r="E7" s="14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5408</v>
      </c>
      <c r="D9" s="49" t="s">
        <v>5399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5408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5" t="s">
        <v>3282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2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0.20270270270270271</v>
      </c>
      <c r="O10" s="105">
        <f t="shared" ref="O10:O76" si="3">D10*N10</f>
        <v>0</v>
      </c>
    </row>
    <row r="11" spans="1:15" ht="13.5" thickBot="1" x14ac:dyDescent="0.25">
      <c r="A11" s="125" t="s">
        <v>2118</v>
      </c>
      <c r="B11" s="44" t="str">
        <f>IF(LEN(VLOOKUP(A11,'Species List'!$A:$G,2,FALSE))=0,"",VLOOKUP(A11,'Species List'!$A:$G,2,FALSE))</f>
        <v>nodding fescue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[FACU+]</v>
      </c>
      <c r="H11" s="44">
        <f>VLOOKUP(A11,'Species List'!$A:$G,7,FALSE)</f>
        <v>0</v>
      </c>
      <c r="J11" s="127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5">
        <f t="shared" si="2"/>
        <v>0.20270270270270271</v>
      </c>
      <c r="O11" s="105">
        <f t="shared" si="3"/>
        <v>1.2162162162162162</v>
      </c>
    </row>
    <row r="12" spans="1:15" ht="13.5" thickBot="1" x14ac:dyDescent="0.25">
      <c r="A12" s="125" t="s">
        <v>1889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4.0540540540540543E-2</v>
      </c>
      <c r="O12" s="104">
        <f t="shared" si="3"/>
        <v>0.16216216216216217</v>
      </c>
    </row>
    <row r="13" spans="1:15" ht="13.5" thickBot="1" x14ac:dyDescent="0.25">
      <c r="A13" s="125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7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0.20270270270270271</v>
      </c>
      <c r="O13" s="97">
        <f t="shared" si="3"/>
        <v>0</v>
      </c>
    </row>
    <row r="14" spans="1:15" ht="13.5" thickBot="1" x14ac:dyDescent="0.25">
      <c r="A14" s="125" t="s">
        <v>1120</v>
      </c>
      <c r="B14" s="44" t="str">
        <f>IF(LEN(VLOOKUP(A14,'Species List'!$A:$G,2,FALSE))=0,"",VLOOKUP(A14,'Species List'!$A:$G,2,FALSE))</f>
        <v>Pennsylvania sedge</v>
      </c>
      <c r="C14" s="44">
        <f>IF(LEN(VLOOKUP(A14,'Species List'!$A:$G,3,FALSE))=0,"",VLOOKUP(A14,'Species List'!$A:$G,3,FALSE))</f>
        <v>3</v>
      </c>
      <c r="D14" s="98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4.0540540540540543E-2</v>
      </c>
      <c r="O14" s="97">
        <f t="shared" si="3"/>
        <v>0.12162162162162163</v>
      </c>
    </row>
    <row r="15" spans="1:15" ht="13.5" thickBot="1" x14ac:dyDescent="0.25">
      <c r="A15" s="125" t="s">
        <v>1869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27" t="s">
        <v>5392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4.0540540540540543E-2</v>
      </c>
      <c r="O15" s="97">
        <f t="shared" si="3"/>
        <v>0.12162162162162163</v>
      </c>
    </row>
    <row r="16" spans="1:15" ht="13.5" thickBot="1" x14ac:dyDescent="0.25">
      <c r="A16" s="125" t="s">
        <v>5445</v>
      </c>
      <c r="B16" s="44" t="str">
        <f>IF(LEN(VLOOKUP(A16,'Species List'!$A:$G,2,FALSE))=0,"",VLOOKUP(A16,'Species List'!$A:$G,2,FALSE))</f>
        <v>woolgrass</v>
      </c>
      <c r="C16" s="44">
        <f>IF(LEN(VLOOKUP(A16,'Species List'!$A:$G,3,FALSE))=0,"",VLOOKUP(A16,'Species List'!$A:$G,3,FALSE))</f>
        <v>3</v>
      </c>
      <c r="D16" s="98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7" t="s">
        <v>5394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6.7567567567567571E-3</v>
      </c>
      <c r="O16" s="97">
        <f t="shared" si="3"/>
        <v>2.0270270270270271E-2</v>
      </c>
    </row>
    <row r="17" spans="1:15" ht="13.5" thickBot="1" x14ac:dyDescent="0.25">
      <c r="A17" s="125" t="s">
        <v>5438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8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7" t="s">
        <v>5392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4.0540540540540543E-2</v>
      </c>
      <c r="O17" s="97">
        <f t="shared" si="3"/>
        <v>0.12162162162162163</v>
      </c>
    </row>
    <row r="18" spans="1:15" ht="13.5" thickBot="1" x14ac:dyDescent="0.25">
      <c r="A18" s="125" t="s">
        <v>791</v>
      </c>
      <c r="B18" s="44" t="str">
        <f>IF(LEN(VLOOKUP(A18,'Species List'!$A:$G,2,FALSE))=0,"",VLOOKUP(A18,'Species List'!$A:$G,2,FALSE))</f>
        <v>hairy brome</v>
      </c>
      <c r="C18" s="44">
        <f>IF(LEN(VLOOKUP(A18,'Species List'!$A:$G,3,FALSE))=0,"",VLOOKUP(A18,'Species List'!$A:$G,3,FALSE))</f>
        <v>6</v>
      </c>
      <c r="D18" s="98">
        <f t="shared" si="0"/>
        <v>6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7" t="s">
        <v>5394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1"/>
        <v>0.5</v>
      </c>
      <c r="N18" s="97">
        <f t="shared" si="2"/>
        <v>6.7567567567567571E-3</v>
      </c>
      <c r="O18" s="97">
        <f t="shared" si="3"/>
        <v>4.0540540540540543E-2</v>
      </c>
    </row>
    <row r="19" spans="1:15" ht="13.5" thickBot="1" x14ac:dyDescent="0.25">
      <c r="A19" s="125" t="s">
        <v>1573</v>
      </c>
      <c r="B19" s="44" t="str">
        <f>IF(LEN(VLOOKUP(A19,'Species List'!$A:$G,2,FALSE))=0,"",VLOOKUP(A19,'Species List'!$A:$G,2,FALSE))</f>
        <v>straw-colored umbrella sedge</v>
      </c>
      <c r="C19" s="44">
        <f>IF(LEN(VLOOKUP(A19,'Species List'!$A:$G,3,FALSE))=0,"",VLOOKUP(A19,'Species List'!$A:$G,3,FALSE))</f>
        <v>2</v>
      </c>
      <c r="D19" s="98">
        <f t="shared" ref="D19:D76" si="4">VALUE(C19)</f>
        <v>2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7" t="s">
        <v>5394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1"/>
        <v>0.5</v>
      </c>
      <c r="N19" s="97">
        <f t="shared" si="2"/>
        <v>6.7567567567567571E-3</v>
      </c>
      <c r="O19" s="97">
        <f t="shared" si="3"/>
        <v>1.3513513513513514E-2</v>
      </c>
    </row>
    <row r="20" spans="1:15" ht="13.5" thickBot="1" x14ac:dyDescent="0.25">
      <c r="A20" s="125" t="s">
        <v>5444</v>
      </c>
      <c r="B20" s="44" t="str">
        <f>IF(LEN(VLOOKUP(A20,'Species List'!$A:$G,2,FALSE))=0,"",VLOOKUP(A20,'Species List'!$A:$G,2,FALSE))</f>
        <v>dark green bulrush</v>
      </c>
      <c r="C20" s="44">
        <f>IF(LEN(VLOOKUP(A20,'Species List'!$A:$G,3,FALSE))=0,"",VLOOKUP(A20,'Species List'!$A:$G,3,FALSE))</f>
        <v>4</v>
      </c>
      <c r="D20" s="98">
        <f t="shared" si="4"/>
        <v>4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OBL</v>
      </c>
      <c r="H20" s="44">
        <f>VLOOKUP(A20,'Species List'!$A:$G,7,FALSE)</f>
        <v>0</v>
      </c>
      <c r="J20" s="127" t="s">
        <v>5394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1"/>
        <v>0.5</v>
      </c>
      <c r="N20" s="97">
        <f t="shared" si="2"/>
        <v>6.7567567567567571E-3</v>
      </c>
      <c r="O20" s="97">
        <f t="shared" si="3"/>
        <v>2.7027027027027029E-2</v>
      </c>
    </row>
    <row r="21" spans="1:15" ht="13.5" thickBot="1" x14ac:dyDescent="0.25">
      <c r="A21" s="125" t="s">
        <v>805</v>
      </c>
      <c r="B21" s="44" t="str">
        <f>IF(LEN(VLOOKUP(A21,'Species List'!$A:$G,2,FALSE))=0,"",VLOOKUP(A21,'Species List'!$A:$G,2,FALSE))</f>
        <v>bluejoint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OBL</v>
      </c>
      <c r="H21" s="44">
        <f>VLOOKUP(A21,'Species List'!$A:$G,7,FALSE)</f>
        <v>0</v>
      </c>
      <c r="J21" s="127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1"/>
        <v>15</v>
      </c>
      <c r="N21" s="97">
        <f t="shared" si="2"/>
        <v>0.20270270270270271</v>
      </c>
      <c r="O21" s="97">
        <f t="shared" si="3"/>
        <v>0.81081081081081086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0" t="s">
        <v>5361</v>
      </c>
      <c r="J151" s="151"/>
      <c r="K151" s="152"/>
      <c r="L151" s="63">
        <f>SUMIF(L10:L150,"&gt;=0")</f>
        <v>74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180B-2C65-4F39-9289-C8FA292E521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5465</v>
      </c>
    </row>
    <row r="2" spans="1:1" x14ac:dyDescent="0.2">
      <c r="A2" t="s">
        <v>5466</v>
      </c>
    </row>
    <row r="3" spans="1:1" x14ac:dyDescent="0.2">
      <c r="A3" t="s">
        <v>5467</v>
      </c>
    </row>
    <row r="4" spans="1:1" x14ac:dyDescent="0.2">
      <c r="A4" t="s">
        <v>5468</v>
      </c>
    </row>
    <row r="5" spans="1:1" x14ac:dyDescent="0.2">
      <c r="A5" t="s">
        <v>5469</v>
      </c>
    </row>
    <row r="6" spans="1:1" x14ac:dyDescent="0.2">
      <c r="A6" t="s">
        <v>5470</v>
      </c>
    </row>
    <row r="7" spans="1:1" x14ac:dyDescent="0.2">
      <c r="A7" t="s">
        <v>5471</v>
      </c>
    </row>
    <row r="8" spans="1:1" x14ac:dyDescent="0.2">
      <c r="A8" t="s">
        <v>5472</v>
      </c>
    </row>
    <row r="9" spans="1:1" x14ac:dyDescent="0.2">
      <c r="A9" t="s">
        <v>5473</v>
      </c>
    </row>
    <row r="10" spans="1:1" x14ac:dyDescent="0.2">
      <c r="A10" t="s">
        <v>5474</v>
      </c>
    </row>
    <row r="11" spans="1:1" x14ac:dyDescent="0.2">
      <c r="A11" t="s">
        <v>5475</v>
      </c>
    </row>
    <row r="12" spans="1:1" x14ac:dyDescent="0.2">
      <c r="A12" t="s">
        <v>5476</v>
      </c>
    </row>
    <row r="13" spans="1:1" x14ac:dyDescent="0.2">
      <c r="A13" t="s">
        <v>5477</v>
      </c>
    </row>
    <row r="14" spans="1:1" x14ac:dyDescent="0.2">
      <c r="A14" t="s">
        <v>5478</v>
      </c>
    </row>
    <row r="15" spans="1:1" x14ac:dyDescent="0.2">
      <c r="A15" t="s">
        <v>5479</v>
      </c>
    </row>
    <row r="16" spans="1:1" x14ac:dyDescent="0.2">
      <c r="A16" t="s">
        <v>5480</v>
      </c>
    </row>
    <row r="17" spans="1:1" x14ac:dyDescent="0.2">
      <c r="A17" t="s">
        <v>5481</v>
      </c>
    </row>
    <row r="18" spans="1:1" x14ac:dyDescent="0.2">
      <c r="A18" t="s">
        <v>5482</v>
      </c>
    </row>
    <row r="19" spans="1:1" x14ac:dyDescent="0.2">
      <c r="A19" t="s">
        <v>5483</v>
      </c>
    </row>
    <row r="20" spans="1:1" x14ac:dyDescent="0.2">
      <c r="A20" t="s">
        <v>5484</v>
      </c>
    </row>
    <row r="21" spans="1:1" x14ac:dyDescent="0.2">
      <c r="A21" t="s">
        <v>5485</v>
      </c>
    </row>
    <row r="22" spans="1:1" x14ac:dyDescent="0.2">
      <c r="A22" t="s">
        <v>5486</v>
      </c>
    </row>
    <row r="23" spans="1:1" x14ac:dyDescent="0.2">
      <c r="A23" t="s">
        <v>5487</v>
      </c>
    </row>
    <row r="24" spans="1:1" x14ac:dyDescent="0.2">
      <c r="A24" t="s">
        <v>5488</v>
      </c>
    </row>
    <row r="25" spans="1:1" x14ac:dyDescent="0.2">
      <c r="A25" t="s">
        <v>5489</v>
      </c>
    </row>
    <row r="26" spans="1:1" x14ac:dyDescent="0.2">
      <c r="A26" t="s">
        <v>5490</v>
      </c>
    </row>
    <row r="27" spans="1:1" x14ac:dyDescent="0.2">
      <c r="A27" t="s">
        <v>5491</v>
      </c>
    </row>
    <row r="28" spans="1:1" x14ac:dyDescent="0.2">
      <c r="A28" t="s">
        <v>5462</v>
      </c>
    </row>
    <row r="29" spans="1:1" x14ac:dyDescent="0.2">
      <c r="A29" t="s">
        <v>5463</v>
      </c>
    </row>
    <row r="30" spans="1:1" x14ac:dyDescent="0.2">
      <c r="A30" t="s">
        <v>5464</v>
      </c>
    </row>
    <row r="31" spans="1:1" x14ac:dyDescent="0.2">
      <c r="A31" t="s">
        <v>5492</v>
      </c>
    </row>
    <row r="32" spans="1:1" x14ac:dyDescent="0.2">
      <c r="A32" t="s">
        <v>5493</v>
      </c>
    </row>
    <row r="33" spans="1:1" x14ac:dyDescent="0.2">
      <c r="A33" t="s">
        <v>5494</v>
      </c>
    </row>
    <row r="34" spans="1:1" x14ac:dyDescent="0.2">
      <c r="A34" t="s">
        <v>5495</v>
      </c>
    </row>
    <row r="35" spans="1:1" x14ac:dyDescent="0.2">
      <c r="A35" t="s">
        <v>5496</v>
      </c>
    </row>
    <row r="36" spans="1:1" x14ac:dyDescent="0.2">
      <c r="A36" t="s">
        <v>5497</v>
      </c>
    </row>
    <row r="37" spans="1:1" x14ac:dyDescent="0.2">
      <c r="A37" t="s">
        <v>5498</v>
      </c>
    </row>
    <row r="38" spans="1:1" x14ac:dyDescent="0.2">
      <c r="A38" t="s">
        <v>5499</v>
      </c>
    </row>
    <row r="39" spans="1:1" x14ac:dyDescent="0.2">
      <c r="A39" t="s">
        <v>5500</v>
      </c>
    </row>
    <row r="40" spans="1:1" x14ac:dyDescent="0.2">
      <c r="A40" t="s">
        <v>5501</v>
      </c>
    </row>
    <row r="41" spans="1:1" x14ac:dyDescent="0.2">
      <c r="A41" t="s">
        <v>5502</v>
      </c>
    </row>
    <row r="42" spans="1:1" x14ac:dyDescent="0.2">
      <c r="A42" t="s">
        <v>5503</v>
      </c>
    </row>
    <row r="43" spans="1:1" x14ac:dyDescent="0.2">
      <c r="A43" t="s">
        <v>5504</v>
      </c>
    </row>
    <row r="44" spans="1:1" x14ac:dyDescent="0.2">
      <c r="A44" t="s">
        <v>5505</v>
      </c>
    </row>
    <row r="45" spans="1:1" x14ac:dyDescent="0.2">
      <c r="A45" t="s">
        <v>5506</v>
      </c>
    </row>
    <row r="46" spans="1:1" x14ac:dyDescent="0.2">
      <c r="A46" t="s">
        <v>5507</v>
      </c>
    </row>
    <row r="47" spans="1:1" x14ac:dyDescent="0.2">
      <c r="A47" t="s">
        <v>5508</v>
      </c>
    </row>
    <row r="48" spans="1:1" x14ac:dyDescent="0.2">
      <c r="A48" t="s">
        <v>5509</v>
      </c>
    </row>
    <row r="49" spans="1:1" x14ac:dyDescent="0.2">
      <c r="A49" t="s">
        <v>5510</v>
      </c>
    </row>
    <row r="50" spans="1:1" x14ac:dyDescent="0.2">
      <c r="A50" t="s">
        <v>5511</v>
      </c>
    </row>
    <row r="51" spans="1:1" x14ac:dyDescent="0.2">
      <c r="A51" t="s">
        <v>5512</v>
      </c>
    </row>
    <row r="52" spans="1:1" x14ac:dyDescent="0.2">
      <c r="A52" t="s">
        <v>5513</v>
      </c>
    </row>
    <row r="53" spans="1:1" x14ac:dyDescent="0.2">
      <c r="A53" t="s">
        <v>5514</v>
      </c>
    </row>
    <row r="54" spans="1:1" x14ac:dyDescent="0.2">
      <c r="A54" t="s">
        <v>5515</v>
      </c>
    </row>
    <row r="55" spans="1:1" x14ac:dyDescent="0.2">
      <c r="A55" t="s">
        <v>5516</v>
      </c>
    </row>
    <row r="56" spans="1:1" x14ac:dyDescent="0.2">
      <c r="A56" t="s">
        <v>5517</v>
      </c>
    </row>
    <row r="57" spans="1:1" x14ac:dyDescent="0.2">
      <c r="A57" t="s">
        <v>5518</v>
      </c>
    </row>
    <row r="58" spans="1:1" x14ac:dyDescent="0.2">
      <c r="A58" t="s">
        <v>5519</v>
      </c>
    </row>
    <row r="59" spans="1:1" x14ac:dyDescent="0.2">
      <c r="A59" t="s">
        <v>5520</v>
      </c>
    </row>
    <row r="60" spans="1:1" x14ac:dyDescent="0.2">
      <c r="A60" t="s">
        <v>5521</v>
      </c>
    </row>
    <row r="61" spans="1:1" x14ac:dyDescent="0.2">
      <c r="A61" t="s">
        <v>5522</v>
      </c>
    </row>
    <row r="62" spans="1:1" x14ac:dyDescent="0.2">
      <c r="A62" t="s">
        <v>5523</v>
      </c>
    </row>
    <row r="63" spans="1:1" x14ac:dyDescent="0.2">
      <c r="A63" t="s">
        <v>5524</v>
      </c>
    </row>
    <row r="64" spans="1:1" x14ac:dyDescent="0.2">
      <c r="A64" t="s">
        <v>5525</v>
      </c>
    </row>
    <row r="65" spans="1:1" x14ac:dyDescent="0.2">
      <c r="A65" t="s">
        <v>5526</v>
      </c>
    </row>
    <row r="66" spans="1:1" x14ac:dyDescent="0.2">
      <c r="A66" t="s">
        <v>5527</v>
      </c>
    </row>
    <row r="67" spans="1:1" x14ac:dyDescent="0.2">
      <c r="A67" t="s">
        <v>5528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D8" sqref="D8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3" t="s">
        <v>4829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5"/>
      <c r="B2" s="56" t="s">
        <v>5404</v>
      </c>
      <c r="C2" s="56" t="s">
        <v>5400</v>
      </c>
      <c r="D2" s="56" t="s">
        <v>5401</v>
      </c>
      <c r="E2" s="56" t="s">
        <v>5402</v>
      </c>
      <c r="F2" s="56" t="s">
        <v>5403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5395</v>
      </c>
      <c r="B4" s="101">
        <f>COUNTIF(Woody!$F$10:$F$149,"Native")</f>
        <v>19</v>
      </c>
      <c r="C4" s="101">
        <f>COUNTIF(Forbs!$F$10:$F$147,"Native")</f>
        <v>53</v>
      </c>
      <c r="D4" s="101">
        <f>COUNTIF(Grasses!$F$10:$F$149,"Native")</f>
        <v>10</v>
      </c>
      <c r="E4" s="101">
        <f>AVERAGE(B4:D4)</f>
        <v>27.333333333333332</v>
      </c>
      <c r="F4" s="101">
        <f>SUM(B4:D4)</f>
        <v>82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7</v>
      </c>
      <c r="D5" s="101">
        <f>COUNTIF(Grasses!$F10:$F199,"Introduced")</f>
        <v>2</v>
      </c>
      <c r="E5" s="101">
        <f t="shared" ref="E5:E6" si="0">AVERAGE(B5:D5)</f>
        <v>4</v>
      </c>
      <c r="F5" s="101">
        <f>SUM(B5:D5)</f>
        <v>12</v>
      </c>
    </row>
    <row r="6" spans="1:6" s="81" customFormat="1" ht="21" x14ac:dyDescent="0.35">
      <c r="A6" s="53" t="s">
        <v>5396</v>
      </c>
      <c r="B6" s="101">
        <f>SUM(B4:B5)</f>
        <v>22</v>
      </c>
      <c r="C6" s="101">
        <f>SUM(C4:C5)</f>
        <v>60</v>
      </c>
      <c r="D6" s="101">
        <f>SUM(D4:D5)</f>
        <v>12</v>
      </c>
      <c r="E6" s="101">
        <f t="shared" si="0"/>
        <v>31.333333333333332</v>
      </c>
      <c r="F6" s="101">
        <f>SUM(B6:D6)</f>
        <v>94</v>
      </c>
    </row>
    <row r="7" spans="1:6" ht="18" x14ac:dyDescent="0.25">
      <c r="A7" s="53" t="s">
        <v>4835</v>
      </c>
      <c r="B7" s="101">
        <f>AVERAGEIF(Woody!D10:D150,"&gt;0")</f>
        <v>3.4210526315789473</v>
      </c>
      <c r="C7" s="101">
        <f>AVERAGEIF(Forbs!D10:D149,"&gt;0")</f>
        <v>3.7</v>
      </c>
      <c r="D7" s="101">
        <f>AVERAGEIF(Grasses!D10:D150,"&gt;0")</f>
        <v>3.8</v>
      </c>
      <c r="E7" s="101">
        <f>AVERAGE(B7:D7)</f>
        <v>3.6403508771929829</v>
      </c>
      <c r="F7" s="101">
        <f>(SUMIF(Woody!D10:D150,"&gt;0")+SUMIF(Forbs!D10:D149,"&gt;0")+SUMIF(Grasses!D10:D150,"&gt;0"))/(COUNTIF(Woody!D10:D150,"&gt;0")+COUNTIF(Forbs!D10:D149,"&gt;0")+COUNTIF(Grasses!D10:D150,"&gt;0"))</f>
        <v>3.6455696202531644</v>
      </c>
    </row>
    <row r="8" spans="1:6" s="31" customFormat="1" ht="21" x14ac:dyDescent="0.35">
      <c r="A8" s="53" t="s">
        <v>5397</v>
      </c>
      <c r="B8" s="101">
        <f>AVERAGEIF(Woody!D10:D150,"&gt;=0")</f>
        <v>2.9545454545454546</v>
      </c>
      <c r="C8" s="101">
        <f>AVERAGEIF(Forbs!D10:D149,"&gt;=0")</f>
        <v>3.0833333333333335</v>
      </c>
      <c r="D8" s="101">
        <f>AVERAGEIF(Grasses!D10:D150,"&gt;=0")</f>
        <v>3.1666666666666665</v>
      </c>
      <c r="E8" s="101">
        <f>AVERAGE(B8:D8)</f>
        <v>3.0681818181818183</v>
      </c>
      <c r="F8" s="101">
        <f>(SUMIF(Woody!D10:D150,"&gt;=0")+SUMIF(Forbs!D10:D149,"&gt;=0")+SUMIF(Grasses!D10:D150,"&gt;=0"))/(COUNTIF(Woody!D10:D150,"&gt;=0")+COUNTIF(Forbs!D10:D149,"&gt;=0")+COUNTIF(Grasses!D10:D150,"&gt;=0"))</f>
        <v>3.0638297872340425</v>
      </c>
    </row>
    <row r="9" spans="1:6" ht="18" x14ac:dyDescent="0.25">
      <c r="A9" s="53" t="s">
        <v>4828</v>
      </c>
      <c r="B9" s="101">
        <f>SQRT(B4)*B7</f>
        <v>14.912022701586515</v>
      </c>
      <c r="C9" s="101">
        <f>SQRT(C4)*C7</f>
        <v>26.936406590337917</v>
      </c>
      <c r="D9" s="101">
        <f>SQRT(D4)*D7</f>
        <v>12.016655108639842</v>
      </c>
      <c r="E9" s="101">
        <f>SQRT(E4)*E7</f>
        <v>19.032224162759128</v>
      </c>
      <c r="F9" s="101">
        <f>SQRT(F4)*F7</f>
        <v>33.012036959285773</v>
      </c>
    </row>
    <row r="10" spans="1:6" s="82" customFormat="1" ht="21" x14ac:dyDescent="0.35">
      <c r="A10" s="53" t="s">
        <v>5398</v>
      </c>
      <c r="B10" s="101">
        <f>SQRT(B6)*B8</f>
        <v>13.858046563114678</v>
      </c>
      <c r="C10" s="101">
        <f>SQRT(C6)*C8</f>
        <v>23.883397301612405</v>
      </c>
      <c r="D10" s="101">
        <f>SQRT(D6)*D8</f>
        <v>10.969655114602888</v>
      </c>
      <c r="E10" s="101">
        <f>SQRT(E6)*E8</f>
        <v>17.174511433377273</v>
      </c>
      <c r="F10" s="101">
        <f>SQRT(F6)*F8</f>
        <v>29.704931892253253</v>
      </c>
    </row>
    <row r="11" spans="1:6" ht="18" x14ac:dyDescent="0.25">
      <c r="A11" s="53" t="s">
        <v>4836</v>
      </c>
      <c r="B11" s="101">
        <f>SUMIF(Woody!$M$10:$M$150,"&gt;=0")</f>
        <v>168.5</v>
      </c>
      <c r="C11" s="101">
        <f>SUMIF(Forbs!$M$10:$M$150,"&gt;=0")</f>
        <v>159.5</v>
      </c>
      <c r="D11" s="101">
        <f>SUMIF(Grasses!$M$10:$M$150,"&gt;=0")</f>
        <v>74</v>
      </c>
      <c r="E11" s="101">
        <f>AVERAGE(B11:D11)</f>
        <v>134</v>
      </c>
      <c r="F11" s="101">
        <f>SUM(B11:D11)</f>
        <v>402</v>
      </c>
    </row>
    <row r="12" spans="1:6" ht="18" x14ac:dyDescent="0.25">
      <c r="A12" s="53" t="s">
        <v>5362</v>
      </c>
      <c r="B12" s="101">
        <f>SUMIF(Woody!$F$10:$F$150,"Introduced",Woody!$L$10:$L$150)</f>
        <v>9</v>
      </c>
      <c r="C12" s="101">
        <f>SUMIF(Forbs!$F$10:$F$150,"Introduced",Forbs!$L$10:$L$150)</f>
        <v>16</v>
      </c>
      <c r="D12" s="101">
        <f>SUMIF(Grasses!$F$10:$F$150,"Introduced",Grasses!$L$10:$L$150)</f>
        <v>30</v>
      </c>
      <c r="E12" s="101">
        <f>AVERAGE(B12:D12)</f>
        <v>18.333333333333332</v>
      </c>
      <c r="F12" s="101">
        <f>SUM(B12:D12)</f>
        <v>55</v>
      </c>
    </row>
    <row r="13" spans="1:6" ht="18.75" thickBot="1" x14ac:dyDescent="0.3">
      <c r="A13" s="54" t="s">
        <v>4837</v>
      </c>
      <c r="B13" s="102">
        <f>B12/B11</f>
        <v>5.3412462908011868E-2</v>
      </c>
      <c r="C13" s="102">
        <f>C12/C11</f>
        <v>0.10031347962382445</v>
      </c>
      <c r="D13" s="102">
        <f>D12/D11</f>
        <v>0.40540540540540543</v>
      </c>
      <c r="E13" s="102">
        <f>E12/E11</f>
        <v>0.13681592039800994</v>
      </c>
      <c r="F13" s="102">
        <f>F12/F11</f>
        <v>0.13681592039800994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3.810089020771513</v>
      </c>
      <c r="C15" s="100">
        <f>SUMIF(Forbs!$O$10:$O$149,"&gt;=0")</f>
        <v>2.9435736677115991</v>
      </c>
      <c r="D15" s="100">
        <f>SUMIF(Grasses!$O$10:$O$150,"&gt;=0")</f>
        <v>2.6554054054054057</v>
      </c>
      <c r="E15" s="100">
        <f>AVERAGE(B15:D15)</f>
        <v>3.1363560312961725</v>
      </c>
      <c r="F15" s="101">
        <f>SUM(B15:D15)</f>
        <v>9.4090680938885178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2025-11-25T03:10:24Z</dcterms:modified>
</cp:coreProperties>
</file>