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6DFBC3A2-3CA1-4BC9-A0F0-EC7F45113462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5" i="9" l="1"/>
  <c r="F16" i="9"/>
  <c r="F17" i="9"/>
  <c r="F18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5" i="9"/>
  <c r="D17" i="9"/>
  <c r="D18" i="9"/>
  <c r="C19" i="9"/>
  <c r="C22" i="9"/>
  <c r="C2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C12" i="9"/>
  <c r="D12" i="9" s="1"/>
  <c r="E12" i="9"/>
  <c r="F12" i="9"/>
  <c r="G12" i="9"/>
  <c r="H12" i="9"/>
  <c r="K12" i="9"/>
  <c r="L12" i="9" s="1"/>
  <c r="M12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7" i="9"/>
  <c r="O27" i="9" s="1"/>
  <c r="N23" i="9"/>
  <c r="O23" i="9" s="1"/>
  <c r="N22" i="9"/>
  <c r="O22" i="9" s="1"/>
  <c r="N17" i="9"/>
  <c r="O17" i="9" s="1"/>
  <c r="N26" i="9"/>
  <c r="O26" i="9" s="1"/>
  <c r="N16" i="9"/>
  <c r="O16" i="9" s="1"/>
  <c r="N15" i="9"/>
  <c r="O15" i="9" s="1"/>
  <c r="N19" i="9"/>
  <c r="O19" i="9" s="1"/>
  <c r="N12" i="9"/>
  <c r="O12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<sst xmlns="http://schemas.openxmlformats.org/spreadsheetml/2006/main" count="13293" uniqueCount="5525">
  <si>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</si>
  <si>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</si>
  <si>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</si>
  <si>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</si>
  <si>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</si>
  <si>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</si>
  <si>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</si>
  <si>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</si>
  <si>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</si>
  <si>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</si>
  <si>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</si>
  <si>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</si>
  <si>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</si>
  <si>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</si>
  <si>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</si>
  <si>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</si>
  <si>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</si>
  <si>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</si>
  <si>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</si>
  <si>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</si>
  <si>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</si>
  <si>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</si>
  <si>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</si>
  <si>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</si>
  <si>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</si>
  <si>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</si>
  <si>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</si>
  <si>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</si>
  <si>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</si>
  <si>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</si>
  <si>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</si>
  <si>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</si>
  <si>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</si>
  <si>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</si>
  <si>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</si>
  <si>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</si>
  <si>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</si>
  <si>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</si>
  <si>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</si>
  <si>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</si>
  <si>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</si>
  <si>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</si>
  <si>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</si>
  <si>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</si>
  <si>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</si>
  <si>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</si>
  <si>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</si>
  <si>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</si>
  <si>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</si>
  <si>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</si>
  <si>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</si>
  <si>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</si>
  <si>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</si>
  <si>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</si>
  <si>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</si>
  <si>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</si>
  <si>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</si>
  <si>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</si>
  <si>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</si>
  <si>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</si>
  <si>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</si>
  <si>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</si>
  <si>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</si>
  <si>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</si>
  <si>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</si>
  <si>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</si>
  <si>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</si>
  <si>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</si>
  <si>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</si>
  <si>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</si>
  <si>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</si>
  <si>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</si>
  <si>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</si>
  <si>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</si>
  <si>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</si>
  <si>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</si>
  <si>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</si>
  <si>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</si>
  <si>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</si>
  <si>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</si>
  <si>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</si>
  <si>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</si>
  <si>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</si>
  <si>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</si>
  <si>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</si>
  <si>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</si>
  <si>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</si>
  <si>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</si>
  <si>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</si>
  <si>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</si>
  <si>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</si>
  <si>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</si>
  <si>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</si>
  <si>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</si>
  <si>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</si>
  <si>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</si>
  <si>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</si>
  <si>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</si>
  <si>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</si>
  <si>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</si>
  <si>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</si>
  <si>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</si>
  <si>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</si>
  <si>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</si>
  <si>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</si>
  <si>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</si>
  <si>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</si>
  <si>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</si>
  <si>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</si>
  <si>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</si>
  <si>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</si>
  <si>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</si>
  <si>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</si>
  <si>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</si>
  <si>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</si>
  <si>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</si>
  <si>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</si>
  <si>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</si>
  <si>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</si>
  <si>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</si>
  <si>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</si>
  <si>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</si>
  <si>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</si>
  <si>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</si>
  <si>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</si>
  <si>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</si>
  <si>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</si>
  <si>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</si>
  <si>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</si>
  <si>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</si>
  <si>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</si>
  <si>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</si>
  <si>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</si>
  <si>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</si>
  <si>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</si>
  <si>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</si>
  <si>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</si>
  <si>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</si>
  <si>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</si>
  <si>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</si>
  <si>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</si>
  <si>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</si>
  <si>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</si>
  <si>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</si>
  <si>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</si>
  <si>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</si>
  <si>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</si>
  <si>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</si>
  <si>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</si>
  <si>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</si>
  <si>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</si>
  <si>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</si>
  <si>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</si>
  <si>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</si>
  <si>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</si>
  <si>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</si>
  <si>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</si>
  <si>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</si>
  <si>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</si>
  <si>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</si>
  <si>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</si>
  <si>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</si>
  <si>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</si>
  <si>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</si>
  <si>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</si>
  <si>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</si>
  <si>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</si>
  <si>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</si>
  <si>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</si>
  <si>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</si>
  <si>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</si>
  <si>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</si>
  <si>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</si>
  <si>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</si>
  <si>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</si>
  <si>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</si>
  <si>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</si>
  <si>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</si>
  <si>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</si>
  <si>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</si>
  <si>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</si>
  <si>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</si>
  <si>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</si>
  <si>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</si>
  <si>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</si>
  <si>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</si>
  <si>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</si>
  <si>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</si>
  <si>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</si>
  <si>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</si>
  <si>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</si>
  <si>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</si>
  <si>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</si>
  <si>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</si>
  <si>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</si>
  <si>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</si>
  <si>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</si>
  <si>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</si>
  <si>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</si>
  <si>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</si>
  <si>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</si>
  <si>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</si>
  <si>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</si>
  <si>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</si>
  <si>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</si>
  <si>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</si>
  <si>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</si>
  <si>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</si>
  <si>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</si>
  <si>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</si>
  <si>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</si>
  <si>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</si>
  <si>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</si>
  <si>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</si>
  <si>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</si>
  <si>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</si>
  <si>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</si>
  <si>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</si>
  <si>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</si>
  <si>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</si>
  <si>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</si>
  <si>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</si>
  <si>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</si>
  <si>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</si>
  <si>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</si>
  <si>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</si>
  <si>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</si>
  <si>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</si>
  <si>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</si>
  <si>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</si>
  <si>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</si>
  <si>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</si>
  <si>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</si>
  <si>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</si>
  <si>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</si>
  <si>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</si>
  <si>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</si>
  <si>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</si>
  <si>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</si>
  <si>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</si>
  <si>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</si>
  <si>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</si>
  <si>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</si>
  <si>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</si>
  <si>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</si>
  <si>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</si>
  <si>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</si>
  <si>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</si>
  <si>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</si>
  <si>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</si>
  <si>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</si>
  <si>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</si>
  <si>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</si>
  <si>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</si>
  <si>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</si>
  <si>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</si>
  <si>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</si>
  <si>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</si>
  <si>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</si>
  <si>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</si>
  <si>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</si>
  <si>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</si>
  <si>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</si>
  <si>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</si>
  <si>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</si>
  <si>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</si>
  <si>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</si>
  <si>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</si>
  <si>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</si>
  <si>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</si>
  <si>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</si>
  <si>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</si>
  <si>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</si>
  <si>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</si>
  <si>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</si>
  <si>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</si>
  <si>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</si>
  <si>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</si>
  <si>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</si>
  <si>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</si>
  <si>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</si>
  <si>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</si>
  <si>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</si>
  <si>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</si>
  <si>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</si>
  <si>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</si>
  <si>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</si>
  <si>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</si>
  <si>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</si>
  <si>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</si>
  <si>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</si>
  <si>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</si>
  <si>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</si>
  <si>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</si>
  <si>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</si>
  <si>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</si>
  <si>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</si>
  <si>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</si>
  <si>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</si>
  <si>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</si>
  <si>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</si>
  <si>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</si>
  <si>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</si>
  <si>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</si>
  <si>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</si>
  <si>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</si>
  <si>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</si>
  <si>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</si>
  <si>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</si>
  <si>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</si>
  <si>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</si>
  <si>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</si>
  <si>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</si>
  <si>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</si>
  <si>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</si>
  <si>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</si>
  <si>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</si>
  <si>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</si>
  <si>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</si>
  <si>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</si>
  <si>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</si>
  <si>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</si>
  <si>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</si>
  <si>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</si>
  <si>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</si>
  <si>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</si>
  <si>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</si>
  <si>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</si>
  <si>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</si>
  <si>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</si>
  <si>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</si>
  <si>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</si>
  <si>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</si>
  <si>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</si>
  <si>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</si>
  <si>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</si>
  <si>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</si>
  <si>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</si>
  <si>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</si>
  <si>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</si>
  <si>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</si>
  <si>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</si>
  <si>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</si>
  <si>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</si>
  <si>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</si>
  <si>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</si>
  <si>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</si>
  <si>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</si>
  <si>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</si>
  <si>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</si>
  <si>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</si>
  <si>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</si>
  <si>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</si>
  <si>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</si>
  <si>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</si>
  <si>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</si>
  <si>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</si>
  <si>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</si>
  <si>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</si>
  <si>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</si>
  <si>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</si>
  <si>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</si>
  <si>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</si>
  <si>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</si>
  <si>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</si>
  <si>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</si>
  <si>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</si>
  <si>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</si>
  <si>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</si>
  <si>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</si>
  <si>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</si>
  <si>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</si>
  <si>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</si>
  <si>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</si>
  <si>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</si>
  <si>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</si>
  <si>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</si>
  <si>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</si>
  <si>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</si>
  <si>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</si>
  <si>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</si>
  <si>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</si>
  <si>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</si>
  <si>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</si>
  <si>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</si>
  <si>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</si>
  <si>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</si>
  <si>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</si>
  <si>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</si>
  <si>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</si>
  <si>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</si>
  <si>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</si>
  <si>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</si>
  <si>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</si>
  <si>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</si>
  <si>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</si>
  <si>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</si>
  <si>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</si>
  <si>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</si>
  <si>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</si>
  <si>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</si>
  <si>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</si>
  <si>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</si>
  <si>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</si>
  <si>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</si>
  <si>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</si>
  <si>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</si>
  <si>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</si>
  <si>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</si>
  <si>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</si>
  <si>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</si>
  <si>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</si>
  <si>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</si>
  <si>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</si>
  <si>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</si>
  <si>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</si>
  <si>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</si>
  <si>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</si>
  <si>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</si>
  <si>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</si>
  <si>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</si>
  <si>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</si>
  <si>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</si>
  <si>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</si>
  <si>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</si>
  <si>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</si>
  <si>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</si>
  <si>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</si>
  <si>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</si>
  <si>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</si>
  <si>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</si>
  <si>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</si>
  <si>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</si>
  <si>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</si>
  <si>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</si>
  <si>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</si>
  <si>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</si>
  <si>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</si>
  <si>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</si>
  <si>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</si>
  <si>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</si>
  <si>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</si>
  <si>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</si>
  <si>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</si>
  <si>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</si>
  <si>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</si>
  <si>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</si>
  <si>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</si>
  <si>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</si>
  <si>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</si>
  <si>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</si>
  <si>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</si>
  <si>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</si>
  <si>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</si>
  <si>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</si>
  <si>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</si>
  <si>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</si>
  <si>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</si>
  <si>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</si>
  <si>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</si>
  <si>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</si>
  <si>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</si>
  <si>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</si>
  <si>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</si>
  <si>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</si>
  <si>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</si>
  <si>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</si>
  <si>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</si>
  <si>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</si>
  <si>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</si>
  <si>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</si>
  <si>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</si>
  <si>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</si>
  <si>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</si>
  <si>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</si>
  <si>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</si>
  <si>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</si>
  <si>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</si>
  <si>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</si>
  <si>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</si>
  <si>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</si>
  <si>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</si>
  <si>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</si>
  <si>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</si>
  <si>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</si>
  <si>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</si>
  <si>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</si>
  <si>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</si>
  <si>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</si>
  <si>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</si>
  <si>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</si>
  <si>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</si>
  <si>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</si>
  <si>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</si>
  <si>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</si>
  <si>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</si>
  <si>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</si>
  <si>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</si>
  <si>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</si>
  <si>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</si>
  <si>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</si>
  <si>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</si>
  <si>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</si>
  <si>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</si>
  <si>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</si>
  <si>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</si>
  <si>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</si>
  <si>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</si>
  <si>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</si>
  <si>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</si>
  <si>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</si>
  <si>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</si>
  <si>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</si>
  <si>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</si>
  <si>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</si>
  <si>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</si>
  <si>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</si>
  <si>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</si>
  <si>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</si>
  <si>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</si>
  <si>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</si>
  <si>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</si>
  <si>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</si>
  <si>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</si>
  <si>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</si>
  <si>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</si>
  <si>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</si>
  <si>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</si>
  <si>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</si>
  <si>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</si>
  <si>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</si>
  <si>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</si>
  <si>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</si>
  <si>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</si>
  <si>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</si>
  <si>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</si>
  <si>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</si>
  <si>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</si>
  <si>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</si>
  <si>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</si>
  <si>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</si>
  <si>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</si>
  <si>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</si>
  <si>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</si>
  <si>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</si>
  <si>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</si>
  <si>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</si>
  <si>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</si>
  <si>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</si>
  <si>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</si>
  <si>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</si>
  <si>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</si>
  <si>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</si>
  <si>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</si>
  <si>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</si>
  <si>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</si>
  <si>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</si>
  <si>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</si>
  <si>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</si>
  <si>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</si>
  <si>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</si>
  <si>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</si>
  <si>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</si>
  <si>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</si>
  <si>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</si>
  <si>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</si>
  <si>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</si>
  <si>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</si>
  <si>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</si>
  <si>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</si>
  <si>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</si>
  <si>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</si>
  <si>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</si>
  <si>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</si>
  <si>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</si>
  <si>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</si>
  <si>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</si>
  <si>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</si>
  <si>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</si>
  <si>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</si>
  <si>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</si>
  <si>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</si>
  <si>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</si>
  <si>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</si>
  <si>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</si>
  <si>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</si>
  <si>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</si>
  <si>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</si>
  <si>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</si>
  <si>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</si>
  <si>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</si>
  <si>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</si>
  <si>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</si>
  <si>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</si>
  <si>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</si>
  <si>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</si>
  <si>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</si>
  <si>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</si>
  <si>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</si>
  <si>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</si>
  <si>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</si>
  <si>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</si>
  <si>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</si>
  <si>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</si>
  <si>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</si>
  <si>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</si>
  <si>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</si>
  <si>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</si>
  <si>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</si>
  <si>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</si>
  <si>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</si>
  <si>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</si>
  <si>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</si>
  <si>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</si>
  <si>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</si>
  <si>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</si>
  <si>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</si>
  <si>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</si>
  <si>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</si>
  <si>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</si>
  <si>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</si>
  <si>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</si>
  <si>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</si>
  <si>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</si>
  <si>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</si>
  <si>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</si>
  <si>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</si>
  <si>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</si>
  <si>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</si>
  <si>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</si>
  <si>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</si>
  <si>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</si>
  <si>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</si>
  <si>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</si>
  <si>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</si>
  <si>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</si>
  <si>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</si>
  <si>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</si>
  <si>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</si>
  <si>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</si>
  <si>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</si>
  <si>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</si>
  <si>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</si>
  <si>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</si>
  <si>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</si>
  <si>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</si>
  <si>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</si>
  <si>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</si>
  <si>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</si>
  <si>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</si>
  <si>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</si>
  <si>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</si>
  <si>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</si>
  <si>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</si>
  <si>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</si>
  <si>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</si>
  <si>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</si>
  <si>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</si>
  <si>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</si>
  <si>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</si>
  <si>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</si>
  <si>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</si>
  <si>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</si>
  <si>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</si>
  <si>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</si>
  <si>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</si>
  <si>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</si>
  <si>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</si>
  <si>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</si>
  <si>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</si>
  <si>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</si>
  <si>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</si>
  <si>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</si>
  <si>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</si>
  <si>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</si>
  <si>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</si>
  <si>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</si>
  <si>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</si>
  <si>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</si>
  <si>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</si>
  <si>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</si>
  <si>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</si>
  <si>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</si>
  <si>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</si>
  <si>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</si>
  <si>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</si>
  <si>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</si>
  <si>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</si>
  <si>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</si>
  <si>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</si>
  <si>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</si>
  <si>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</si>
  <si>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</si>
  <si>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</si>
  <si>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</si>
  <si>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</si>
  <si>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</si>
  <si>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</si>
  <si>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</si>
  <si>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</si>
  <si>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</si>
  <si>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</si>
  <si>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</si>
  <si>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</si>
  <si>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</si>
  <si>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</si>
  <si>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</si>
  <si>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</si>
  <si>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</si>
  <si>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</si>
  <si>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</si>
  <si>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</si>
  <si>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</si>
  <si>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</si>
  <si>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</si>
  <si>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</si>
  <si>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</si>
  <si>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</si>
  <si>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</si>
  <si>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</si>
  <si>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</si>
  <si>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</si>
  <si>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</si>
  <si>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</si>
  <si>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</si>
  <si>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</si>
  <si>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</si>
  <si>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</si>
  <si>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</si>
  <si>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</si>
  <si>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</si>
  <si>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</si>
  <si>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</si>
  <si>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</si>
  <si>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</si>
  <si>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</si>
  <si>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</si>
  <si>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</si>
  <si>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</si>
  <si>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</si>
  <si>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</si>
  <si>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</si>
  <si>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</si>
  <si>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</si>
  <si>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</si>
  <si>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</si>
  <si>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</si>
  <si>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</si>
  <si>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</si>
  <si>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</si>
  <si>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</si>
  <si>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</si>
  <si>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</si>
  <si>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</si>
  <si>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</si>
  <si>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</si>
  <si>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</si>
  <si>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</si>
  <si>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</si>
  <si>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</si>
  <si>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</si>
  <si>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</si>
  <si>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</si>
  <si>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</si>
  <si>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</si>
  <si>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</si>
  <si>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</si>
  <si>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</si>
  <si>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</si>
  <si>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</si>
  <si>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</si>
  <si>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</si>
  <si>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</si>
  <si>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</si>
  <si>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</si>
  <si>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</si>
  <si>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</si>
  <si>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</si>
  <si>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</si>
  <si>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</si>
  <si>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</si>
  <si>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</si>
  <si>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</si>
  <si>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</si>
  <si>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</si>
  <si>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</si>
  <si>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</si>
  <si>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</si>
  <si>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</si>
  <si>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</si>
  <si>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</si>
  <si>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</si>
  <si>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</si>
  <si>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</si>
  <si>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</si>
  <si>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</si>
  <si>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</si>
  <si>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</si>
  <si>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</si>
  <si>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</si>
  <si>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</si>
  <si>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</si>
  <si>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</si>
  <si>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</si>
  <si>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</si>
  <si>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</si>
  <si>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</si>
  <si>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</si>
  <si>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</si>
  <si>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</si>
  <si>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</si>
  <si>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</si>
  <si>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</si>
  <si>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</si>
  <si>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</si>
  <si>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</si>
  <si>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</si>
  <si>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</si>
  <si>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</si>
  <si>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</si>
  <si>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</si>
  <si>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</si>
  <si>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</si>
  <si>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</si>
  <si>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</si>
  <si>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</si>
  <si>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</si>
  <si>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</si>
  <si>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</si>
  <si>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</si>
  <si>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</si>
  <si>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</si>
  <si>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</si>
  <si>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</si>
  <si>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</si>
  <si>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</si>
  <si>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</si>
  <si>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</si>
  <si>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</si>
  <si>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</si>
  <si>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</si>
  <si>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</si>
  <si>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</si>
  <si>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</si>
  <si>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</si>
  <si>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</si>
  <si>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</si>
  <si>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</si>
  <si>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</si>
  <si>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</si>
  <si>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</si>
  <si>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</si>
  <si>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</si>
  <si>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</si>
  <si>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</si>
  <si>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</si>
  <si>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</si>
  <si>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</si>
  <si>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</si>
  <si>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</si>
  <si>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</si>
  <si>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</si>
  <si>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</si>
  <si>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</si>
  <si>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</si>
  <si>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</si>
  <si>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</si>
  <si>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</si>
  <si>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</si>
  <si>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</si>
  <si>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</si>
  <si>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</si>
  <si>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</si>
  <si>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</si>
  <si>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</si>
  <si>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</si>
  <si>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</si>
  <si>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</si>
  <si>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</si>
  <si>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</si>
  <si>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</si>
  <si>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</si>
  <si>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</si>
  <si>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</si>
  <si>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</si>
  <si>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</si>
  <si>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</si>
  <si>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</si>
  <si>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</si>
  <si>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</si>
  <si>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</si>
  <si>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</si>
  <si>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</si>
  <si>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</si>
  <si>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</si>
  <si>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</si>
  <si>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</si>
  <si>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</si>
  <si>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</si>
  <si>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</si>
  <si>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</si>
  <si>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</si>
  <si>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</si>
  <si>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</si>
  <si>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</si>
  <si>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</si>
  <si>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</si>
  <si>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</si>
  <si>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</si>
  <si>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</si>
  <si>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</si>
  <si>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</si>
  <si>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</si>
  <si>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</si>
  <si>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</si>
  <si>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</si>
  <si>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</si>
  <si>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</si>
  <si>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</si>
  <si>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</si>
  <si>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</si>
  <si>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</si>
  <si>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</si>
  <si>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</si>
  <si>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</si>
  <si>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</si>
  <si>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</si>
  <si>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</si>
  <si>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</si>
  <si>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</si>
  <si>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</si>
  <si>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</si>
  <si>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</si>
  <si>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</si>
  <si>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</si>
  <si>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</si>
  <si>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</si>
  <si>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</si>
  <si>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</si>
  <si>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</si>
  <si>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</si>
  <si>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</si>
  <si>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</si>
  <si>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</si>
  <si>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</si>
  <si>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</si>
  <si>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</si>
  <si>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</si>
  <si>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</si>
  <si>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</si>
  <si>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</si>
  <si>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</si>
  <si>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</si>
  <si>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</si>
  <si>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</si>
  <si>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</si>
  <si>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</si>
  <si>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</si>
  <si>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</si>
  <si>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</si>
  <si>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</si>
  <si>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</si>
  <si>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</si>
  <si>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</si>
  <si>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</si>
  <si>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</si>
  <si>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</si>
  <si>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</si>
  <si>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</si>
  <si>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</si>
  <si>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</si>
  <si>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</si>
  <si>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</si>
  <si>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</si>
  <si>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</si>
  <si>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</si>
  <si>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</si>
  <si>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</si>
  <si>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</si>
  <si>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</si>
  <si>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</si>
  <si>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</si>
  <si>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</si>
  <si>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</si>
  <si>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</si>
  <si>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</si>
  <si>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</si>
  <si>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</si>
  <si>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</si>
  <si>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</si>
  <si>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</si>
  <si>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</si>
  <si>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</si>
  <si>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</si>
  <si>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</si>
  <si>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</si>
  <si>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</si>
  <si>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</si>
  <si>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</si>
  <si>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</si>
  <si>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</si>
  <si>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</si>
  <si>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</si>
  <si>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</si>
  <si>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</si>
  <si>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</si>
  <si>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</si>
  <si>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</si>
  <si>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</si>
  <si>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</si>
  <si>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</si>
  <si>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</si>
  <si>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</si>
  <si>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</si>
  <si>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</si>
  <si>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</si>
  <si>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</si>
  <si>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</si>
  <si>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</si>
  <si>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</si>
  <si>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</si>
  <si>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</si>
  <si>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</si>
  <si>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</si>
  <si>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</si>
  <si>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</si>
  <si>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</si>
  <si>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</si>
  <si>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</si>
  <si>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</si>
  <si>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</si>
  <si>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</si>
  <si>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</si>
  <si>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</si>
  <si>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</si>
  <si>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</si>
  <si>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</si>
  <si>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</si>
  <si>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</si>
  <si>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</si>
  <si>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</si>
  <si>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</si>
  <si>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</si>
  <si>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</si>
  <si>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</si>
  <si>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</si>
  <si>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</si>
  <si>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</si>
  <si>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</si>
  <si>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</si>
  <si>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</si>
  <si>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</si>
  <si>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</si>
  <si>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</si>
  <si>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</si>
  <si>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</si>
  <si>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</si>
  <si>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</si>
  <si>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</si>
  <si>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</si>
  <si>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</si>
  <si>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</si>
  <si>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</si>
  <si>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</si>
  <si>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</si>
  <si>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</si>
  <si>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</si>
  <si>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</si>
  <si>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</si>
  <si>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</si>
  <si>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</si>
  <si>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</si>
  <si>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</si>
  <si>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</si>
  <si>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</si>
  <si>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</si>
  <si>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</si>
  <si>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</si>
  <si>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</si>
  <si>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</si>
  <si>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</si>
  <si>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</si>
  <si>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</si>
  <si>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</si>
  <si>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</si>
  <si>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</si>
  <si>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</si>
  <si>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</si>
  <si>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</si>
  <si>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</si>
  <si>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</si>
  <si>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</si>
  <si>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</si>
  <si>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</si>
  <si>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</si>
  <si>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</si>
  <si>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</si>
  <si>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</si>
  <si>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</si>
  <si>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</si>
  <si>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</si>
  <si>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</si>
  <si>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</si>
  <si>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</si>
  <si>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</si>
  <si>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</si>
  <si>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</si>
  <si>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</si>
  <si>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</si>
  <si>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</si>
  <si>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</si>
  <si>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</si>
  <si>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</si>
  <si>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</si>
  <si>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</si>
  <si>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</si>
  <si>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</si>
  <si>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</si>
  <si>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</si>
  <si>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</si>
  <si>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</si>
  <si>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</si>
  <si>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</si>
  <si>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</si>
  <si>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</si>
  <si>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</si>
  <si>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</si>
  <si>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</si>
  <si>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</si>
  <si>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</si>
  <si>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</si>
  <si>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</si>
  <si>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</si>
  <si>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</si>
  <si>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</si>
  <si>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</si>
  <si>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</si>
  <si>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</si>
  <si>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</si>
  <si>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</si>
  <si>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</si>
  <si>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</si>
  <si>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</si>
  <si>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</si>
  <si>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</si>
  <si>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</si>
  <si>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</si>
  <si>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</si>
  <si>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</si>
  <si>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</si>
  <si>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</si>
  <si>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</si>
  <si>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</si>
  <si>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</si>
  <si>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</si>
  <si>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</si>
  <si>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</si>
  <si>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</si>
  <si>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</si>
  <si>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</si>
  <si>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</si>
  <si>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</si>
  <si>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</si>
  <si>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</si>
  <si>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</si>
  <si>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</si>
  <si>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</si>
  <si>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</si>
  <si>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</si>
  <si>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</si>
  <si>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</si>
  <si>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</si>
  <si>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</si>
  <si>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</si>
  <si>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</si>
  <si>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</si>
  <si>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</si>
  <si>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</si>
  <si>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</si>
  <si>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</si>
  <si>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</si>
  <si>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</si>
  <si>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</si>
  <si>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</si>
  <si>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</si>
  <si>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</si>
  <si>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</si>
  <si>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</si>
  <si>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</si>
  <si>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</si>
  <si>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</si>
  <si>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</si>
  <si>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</si>
  <si>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</si>
  <si>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</si>
  <si>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</si>
  <si>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</si>
  <si>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</si>
  <si>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</si>
  <si>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</si>
  <si>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</si>
  <si>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</si>
  <si>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</si>
  <si>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</si>
  <si>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</si>
  <si>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</si>
  <si>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</si>
  <si>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</si>
  <si>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</si>
  <si>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</si>
  <si>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</si>
  <si>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</si>
  <si>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</si>
  <si>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</si>
  <si>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</si>
  <si>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</si>
  <si>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</si>
  <si>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</si>
  <si>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</si>
  <si>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</si>
  <si>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</si>
  <si>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</si>
  <si>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</si>
  <si>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</si>
  <si>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</si>
  <si>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</si>
  <si>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</si>
  <si>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</si>
  <si>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</si>
  <si>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</si>
  <si>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</si>
  <si>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</si>
  <si>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</si>
  <si>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</si>
  <si>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</si>
  <si>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</si>
  <si>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</si>
  <si>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</si>
  <si>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</si>
  <si>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</si>
  <si>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</si>
  <si>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</si>
  <si>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</si>
  <si>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</si>
  <si>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</si>
  <si>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</si>
  <si>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</si>
  <si>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</si>
  <si>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</si>
  <si>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</si>
  <si>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</si>
  <si>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</si>
  <si>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</si>
  <si>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</si>
  <si>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</si>
  <si>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</si>
  <si>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</si>
  <si>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</si>
  <si>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</si>
  <si>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</si>
  <si>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</si>
  <si>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</si>
  <si>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</si>
  <si>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</si>
  <si>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</si>
  <si>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</si>
  <si>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</si>
  <si>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</si>
  <si>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</si>
  <si>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</si>
  <si>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</si>
  <si>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</si>
  <si>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</si>
  <si>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</si>
  <si>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</si>
  <si>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</si>
  <si>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</si>
  <si>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</si>
  <si>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</si>
  <si>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</si>
  <si>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</si>
  <si>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</si>
  <si>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</si>
  <si>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</si>
  <si>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</si>
  <si>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</si>
  <si>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</si>
  <si>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</si>
  <si>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</si>
  <si>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</si>
  <si>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</si>
  <si>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</si>
  <si>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</si>
  <si>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</si>
  <si>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</si>
  <si>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</si>
  <si>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</si>
  <si>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</si>
  <si>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</si>
  <si>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</si>
  <si>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</si>
  <si>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</si>
  <si>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</si>
  <si>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</si>
  <si>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</si>
  <si>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</si>
  <si>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</si>
  <si>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</si>
  <si>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</si>
  <si>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</si>
  <si>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</si>
  <si>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</si>
  <si>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</si>
  <si>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</si>
  <si>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</si>
  <si>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</si>
  <si>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</si>
  <si>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</si>
  <si>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</si>
  <si>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</si>
  <si>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</si>
  <si>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</si>
  <si>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</si>
  <si>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</si>
  <si>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</si>
  <si>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</si>
  <si>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</si>
  <si>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</si>
  <si>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</si>
  <si>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</si>
  <si>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</si>
  <si>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</si>
  <si>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</si>
  <si>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</si>
  <si>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</si>
  <si>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</si>
  <si>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</si>
  <si>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</si>
  <si>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</si>
  <si>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</si>
  <si>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</si>
  <si>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</si>
  <si>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</si>
  <si>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</si>
  <si>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</si>
  <si>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</si>
  <si>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</si>
  <si>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</si>
  <si>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</si>
  <si>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</si>
  <si>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</si>
  <si>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</si>
  <si>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</si>
  <si>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</si>
  <si>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</si>
  <si>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</si>
  <si>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</si>
  <si>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</si>
  <si>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</si>
  <si>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</si>
  <si>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</si>
  <si>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</si>
  <si>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</si>
  <si>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</si>
  <si>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</si>
  <si>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</si>
  <si>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</si>
  <si>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</si>
  <si>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</si>
  <si>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</si>
  <si>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</si>
  <si>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</si>
  <si>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</si>
  <si>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</si>
  <si>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</si>
  <si>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</si>
  <si>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</si>
  <si>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</si>
  <si>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</si>
  <si>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</si>
  <si>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</si>
  <si>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</si>
  <si>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</si>
  <si>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</si>
  <si>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</si>
  <si>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</si>
  <si>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</si>
  <si>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</si>
  <si>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</si>
  <si>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</si>
  <si>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</si>
  <si>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</si>
  <si>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</si>
  <si>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</si>
  <si>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</si>
  <si>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</si>
  <si>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</si>
  <si>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</si>
  <si>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</si>
  <si>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</si>
  <si>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</si>
  <si>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</si>
  <si>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</si>
  <si>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</si>
  <si>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</si>
  <si>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</si>
  <si>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</si>
  <si>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</si>
  <si>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</si>
  <si>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</si>
  <si>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</si>
  <si>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</si>
  <si>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</si>
  <si>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</si>
  <si>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</si>
  <si>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</si>
  <si>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</si>
  <si>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</si>
  <si>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</si>
  <si>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</si>
  <si>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</si>
  <si>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</si>
  <si>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</si>
  <si>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</si>
  <si>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</si>
  <si>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</si>
  <si>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</si>
  <si>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</si>
  <si>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</si>
  <si>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</si>
  <si>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</si>
  <si>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</si>
  <si>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</si>
  <si>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</si>
  <si>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</si>
  <si>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</si>
  <si>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</si>
  <si>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</si>
  <si>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</si>
  <si>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</si>
  <si>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</si>
  <si>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</si>
  <si>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</si>
  <si>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</si>
  <si>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</si>
  <si>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</si>
  <si>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</si>
  <si>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</si>
  <si>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</si>
  <si>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</si>
  <si>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</si>
  <si>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</si>
  <si>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</si>
  <si>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</si>
  <si>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</si>
  <si>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</si>
  <si>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</si>
  <si>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</si>
  <si>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</si>
  <si>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</si>
  <si>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</si>
  <si>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</si>
  <si>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</si>
  <si>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</si>
  <si>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</si>
  <si>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</si>
  <si>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</si>
  <si>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</si>
  <si>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</si>
  <si>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</si>
  <si>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</si>
  <si>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</si>
  <si>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</si>
  <si>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</si>
  <si>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</si>
  <si>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</si>
  <si>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</si>
  <si>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</si>
  <si>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</si>
  <si>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</si>
  <si>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</si>
  <si>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</si>
  <si>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</si>
  <si>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</si>
  <si>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</si>
  <si>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</si>
  <si>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</si>
  <si>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</si>
  <si>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</si>
  <si>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</si>
  <si>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</si>
  <si>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</si>
  <si>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</si>
  <si>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</si>
  <si>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</si>
  <si>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</si>
  <si>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</si>
  <si>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</si>
  <si>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</si>
  <si>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</si>
  <si>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</si>
  <si>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</si>
  <si>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</si>
  <si>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</si>
  <si>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</si>
  <si>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</si>
  <si>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</si>
  <si>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</si>
  <si>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</si>
  <si>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</si>
  <si>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</si>
  <si>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</si>
  <si>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</si>
  <si>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</si>
  <si>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</si>
  <si>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</si>
  <si>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</si>
  <si>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</si>
  <si>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</si>
  <si>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</si>
  <si>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</si>
  <si>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</si>
  <si>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</si>
  <si>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</si>
  <si>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</si>
  <si>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</si>
  <si>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</si>
  <si>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</si>
  <si>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</si>
  <si>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</si>
  <si>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</si>
  <si>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</si>
  <si>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</si>
  <si>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</si>
  <si>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</si>
  <si>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</si>
  <si>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</si>
  <si>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</si>
  <si>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</si>
  <si>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</si>
  <si>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</si>
  <si>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</si>
  <si>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</si>
  <si>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</si>
  <si>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</si>
  <si>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</si>
  <si>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</si>
  <si>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</si>
  <si>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</si>
  <si>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</si>
  <si>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</si>
  <si>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</si>
  <si>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</si>
  <si>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</si>
  <si>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</si>
  <si>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</si>
  <si>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</si>
  <si>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</si>
  <si>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</si>
  <si>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</si>
  <si>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</si>
  <si>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</si>
  <si>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</si>
  <si>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</si>
  <si>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</si>
  <si>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</si>
  <si>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</si>
  <si>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</si>
  <si>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</si>
  <si>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</si>
  <si>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</si>
  <si>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</si>
  <si>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</si>
  <si>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</si>
  <si>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</si>
  <si>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</si>
  <si>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</si>
  <si>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</si>
  <si>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</si>
  <si>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</si>
  <si>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</si>
  <si>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</si>
  <si>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</si>
  <si>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</si>
  <si>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</si>
  <si>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</si>
  <si>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</si>
  <si>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</si>
  <si>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</si>
  <si>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</si>
  <si>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</si>
  <si>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</si>
  <si>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</si>
  <si>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</si>
  <si>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</si>
  <si>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</si>
  <si>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</si>
  <si>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</si>
  <si>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</si>
  <si>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</si>
  <si>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</si>
  <si>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</si>
  <si>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</si>
  <si>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</si>
  <si>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</si>
  <si>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</si>
  <si>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</si>
  <si>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</si>
  <si>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</si>
  <si>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</si>
  <si>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</si>
  <si>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</si>
  <si>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</si>
  <si>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</si>
  <si>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</si>
  <si>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</si>
  <si>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</si>
  <si>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</si>
  <si>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</si>
  <si>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</si>
  <si>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</si>
  <si>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</si>
  <si>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</si>
  <si>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</si>
  <si>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</si>
  <si>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</si>
  <si>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</si>
  <si>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</si>
  <si>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</si>
  <si>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</si>
  <si>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</si>
  <si>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</si>
  <si>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</si>
  <si>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</si>
  <si>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</si>
  <si>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</si>
  <si>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</si>
  <si>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</si>
  <si>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</si>
  <si>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</si>
  <si>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</si>
  <si>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</si>
  <si>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</si>
  <si>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</si>
  <si>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</si>
  <si>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</si>
  <si>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</si>
  <si>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</si>
  <si>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</si>
  <si>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</si>
  <si>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</si>
  <si>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</si>
  <si>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</si>
  <si>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</si>
  <si>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</si>
  <si>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</si>
  <si>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</si>
  <si>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</si>
  <si>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</si>
  <si>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</si>
  <si>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</si>
  <si>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</si>
  <si>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</si>
  <si>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</si>
  <si>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</si>
  <si>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</si>
  <si>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</si>
  <si>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</si>
  <si>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</si>
  <si>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</si>
  <si>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</si>
  <si>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</si>
  <si>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</si>
  <si>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</si>
  <si>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</si>
  <si>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</si>
  <si>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</si>
  <si>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</si>
  <si>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</si>
  <si>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</si>
  <si>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</si>
  <si>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</si>
  <si>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</si>
  <si>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</si>
  <si>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</si>
  <si>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</si>
  <si>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</si>
  <si>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</si>
  <si>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</si>
  <si>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</si>
  <si>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</si>
  <si>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</si>
  <si>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</si>
  <si>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</si>
  <si>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</si>
  <si>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</si>
  <si>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</si>
  <si>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</si>
  <si>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</si>
  <si>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</si>
  <si>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</si>
  <si>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</si>
  <si>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</si>
  <si>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</si>
  <si>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</si>
  <si>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</si>
  <si>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</si>
  <si>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</si>
  <si>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</si>
  <si>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</si>
  <si>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</si>
  <si>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</si>
  <si>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</si>
  <si>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</si>
  <si>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</si>
  <si>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</si>
  <si>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</si>
  <si>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</si>
  <si>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</si>
  <si>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</si>
  <si>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</si>
  <si>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</si>
  <si>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</si>
  <si>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</si>
  <si>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</si>
  <si>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</si>
  <si>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</si>
  <si>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</si>
  <si>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</si>
  <si>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</si>
  <si>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</si>
  <si>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</si>
  <si>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</si>
  <si>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</si>
  <si>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</si>
  <si>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</si>
  <si>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</si>
  <si>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</si>
  <si>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</si>
  <si>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</si>
  <si>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</si>
  <si>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</si>
  <si>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</si>
  <si>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</si>
  <si>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</si>
  <si>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</si>
  <si>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</si>
  <si>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</si>
  <si>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</si>
  <si>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</si>
  <si>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</si>
  <si>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</si>
  <si>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</si>
  <si>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</si>
  <si>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</si>
  <si>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</si>
  <si>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</si>
  <si>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</si>
  <si>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</si>
  <si>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</si>
  <si>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</si>
  <si>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</si>
  <si>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</si>
  <si>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</si>
  <si>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</si>
  <si>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</si>
  <si>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</si>
  <si>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</si>
  <si>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</si>
  <si>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</si>
  <si>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</si>
  <si>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</si>
  <si>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</si>
  <si>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</si>
  <si>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</si>
  <si>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</si>
  <si>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</si>
  <si>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</si>
  <si>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</si>
  <si>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</si>
  <si>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</si>
  <si>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</si>
  <si>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</si>
  <si>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</si>
  <si>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</si>
  <si>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</si>
  <si>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</si>
  <si>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</si>
  <si>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</si>
  <si>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</si>
  <si>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</si>
  <si>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</si>
  <si>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</si>
  <si>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</si>
  <si>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</si>
  <si>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</si>
  <si>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</si>
  <si>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</si>
  <si>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</si>
  <si>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</si>
  <si>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</si>
  <si>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</si>
  <si>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</si>
  <si>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</si>
  <si>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</si>
  <si>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</si>
  <si>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</si>
  <si>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</si>
  <si>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</si>
  <si>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</si>
  <si>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</si>
  <si>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</si>
  <si>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</si>
  <si>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</si>
  <si>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</si>
  <si>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</si>
  <si>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</si>
  <si>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</si>
  <si>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</si>
  <si>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</si>
  <si>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</si>
  <si>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</si>
  <si>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</si>
  <si>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</si>
  <si>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</si>
  <si>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</si>
  <si>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</si>
  <si>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</si>
  <si>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</si>
  <si>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</si>
  <si>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</si>
  <si>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</si>
  <si>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</si>
  <si>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</si>
  <si>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</si>
  <si>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</si>
  <si>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</si>
  <si>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</si>
  <si>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</si>
  <si>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</si>
  <si>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</si>
  <si>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</si>
  <si>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</si>
  <si>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</si>
  <si>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</si>
  <si>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</si>
  <si>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</si>
  <si>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</si>
  <si>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</si>
  <si>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</si>
  <si>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</si>
  <si>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</si>
  <si>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</si>
  <si>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</si>
  <si>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</si>
  <si>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</si>
  <si>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</si>
  <si>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</si>
  <si>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</si>
  <si>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</si>
  <si>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</si>
  <si>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</si>
  <si>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</si>
  <si>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</si>
  <si>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</si>
  <si>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</si>
  <si>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</si>
  <si>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</si>
  <si>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</si>
  <si>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</si>
  <si>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</si>
  <si>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</si>
  <si>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</si>
  <si>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</si>
  <si>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</si>
  <si>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</si>
  <si>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</si>
  <si>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</si>
  <si>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</si>
  <si>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</si>
  <si>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</si>
  <si>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</si>
  <si>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</si>
  <si>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</si>
  <si>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</si>
  <si>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</si>
  <si>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</si>
  <si>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</si>
  <si>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</si>
  <si>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</si>
  <si>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</si>
  <si>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</si>
  <si>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</si>
  <si>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</si>
  <si>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</si>
  <si>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</si>
  <si>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</si>
  <si>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</si>
  <si>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</si>
  <si>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</si>
  <si>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</si>
  <si>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</si>
  <si>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</si>
  <si>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</si>
  <si>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</si>
  <si>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</si>
  <si>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</si>
  <si>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</si>
  <si>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</si>
  <si>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</si>
  <si>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</si>
  <si>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</si>
  <si>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</si>
  <si>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</si>
  <si>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</si>
  <si>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</si>
  <si>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</si>
  <si>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</si>
  <si>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</si>
  <si>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</si>
  <si>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</si>
  <si>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</si>
  <si>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</si>
  <si>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</si>
  <si>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</si>
  <si>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</si>
  <si>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</si>
  <si>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</si>
  <si>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</si>
  <si>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</si>
  <si>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</si>
  <si>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</si>
  <si>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</si>
  <si>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</si>
  <si>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</si>
  <si>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</si>
  <si>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</si>
  <si>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</si>
  <si>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</si>
  <si>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</si>
  <si>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</si>
  <si>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</si>
  <si>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</si>
  <si>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</si>
  <si>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</si>
  <si>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</si>
  <si>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</si>
  <si>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</si>
  <si>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</si>
  <si>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</si>
  <si>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</si>
  <si>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</si>
  <si>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</si>
  <si>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</si>
  <si>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</si>
  <si>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</si>
  <si>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</si>
  <si>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</si>
  <si>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</si>
  <si>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</si>
  <si>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</si>
  <si>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</si>
  <si>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</si>
  <si>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</si>
  <si>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</si>
  <si>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</si>
  <si>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</si>
  <si>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</si>
  <si>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</si>
  <si>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</si>
  <si>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</si>
  <si>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</si>
  <si>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</si>
  <si>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</si>
  <si>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</si>
  <si>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</si>
  <si>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</si>
  <si>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</si>
  <si>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</si>
  <si>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</si>
  <si>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</si>
  <si>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</si>
  <si>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</si>
  <si>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</si>
  <si>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</si>
  <si>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</si>
  <si>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</si>
  <si>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</si>
  <si>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</si>
  <si>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</si>
  <si>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</si>
  <si>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</si>
  <si>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</si>
  <si>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</si>
  <si>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</si>
  <si>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</si>
  <si>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</si>
  <si>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</si>
  <si>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</si>
  <si>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</si>
  <si>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</si>
  <si>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</si>
  <si>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</si>
  <si>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</si>
  <si>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</si>
  <si>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</si>
  <si>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</si>
  <si>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</si>
  <si>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</si>
  <si>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</si>
  <si>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</si>
  <si>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</si>
  <si>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</si>
  <si>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</si>
  <si>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</si>
  <si>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</si>
  <si>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</si>
  <si>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</si>
  <si>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</si>
  <si>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</si>
  <si>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</si>
  <si>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</si>
  <si>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</si>
  <si>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</si>
  <si>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</si>
  <si>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</si>
  <si>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</si>
  <si>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</si>
  <si>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</si>
  <si>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</si>
  <si>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</si>
  <si>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</si>
  <si>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</si>
  <si>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</si>
  <si>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</si>
  <si>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</si>
  <si>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</si>
  <si>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</si>
  <si>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</si>
  <si>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</si>
  <si>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</si>
  <si>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</si>
  <si>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</si>
  <si>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</si>
  <si>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</si>
  <si>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</si>
  <si>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</si>
  <si>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</si>
  <si>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</si>
  <si>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</si>
  <si>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</si>
  <si>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</si>
  <si>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</si>
  <si>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</si>
  <si>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</si>
  <si>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</si>
  <si>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</si>
  <si>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</si>
  <si>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</si>
  <si>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</si>
  <si>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</si>
  <si>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</si>
  <si>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</si>
  <si>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</si>
  <si>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</si>
  <si>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</si>
  <si>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</si>
  <si>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</si>
  <si>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</si>
  <si>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</si>
  <si>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</si>
  <si>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</si>
  <si>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</si>
  <si>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</si>
  <si>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</si>
  <si>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</si>
  <si>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</si>
  <si>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</si>
  <si>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</si>
  <si>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</si>
  <si>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</si>
  <si>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</si>
  <si>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</si>
  <si>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</si>
  <si>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</si>
  <si>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</si>
  <si>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</si>
  <si>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</si>
  <si>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</si>
  <si>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</si>
  <si>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</si>
  <si>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</si>
  <si>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</si>
  <si>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</si>
  <si>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</si>
  <si>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</si>
  <si>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</si>
  <si>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</si>
  <si>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</si>
  <si>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</si>
  <si>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</si>
  <si>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</si>
  <si>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</si>
  <si>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</si>
  <si>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</si>
  <si>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</si>
  <si>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</si>
  <si>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</si>
  <si>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</si>
  <si>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</si>
  <si>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</si>
  <si>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</si>
  <si>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</si>
  <si>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</si>
  <si>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</si>
  <si>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</si>
  <si>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</si>
  <si>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</si>
  <si>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</si>
  <si>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</si>
  <si>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</si>
  <si>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</si>
  <si>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</si>
  <si>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</si>
  <si>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</si>
  <si>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</si>
  <si>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</si>
  <si>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</si>
  <si>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</si>
  <si>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</si>
  <si>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</si>
  <si>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</si>
  <si>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</si>
  <si>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</si>
  <si>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</si>
  <si>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</si>
  <si>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</si>
  <si>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</si>
  <si>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</si>
  <si>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</si>
  <si>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</si>
  <si>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</si>
  <si>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</si>
  <si>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</si>
  <si>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</si>
  <si>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</si>
  <si>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</si>
  <si>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</si>
  <si>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</si>
  <si>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</si>
  <si>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</si>
  <si>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</si>
  <si>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</si>
  <si>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</si>
  <si>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</si>
  <si>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</si>
  <si>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</si>
  <si>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</si>
  <si>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</si>
  <si>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</si>
  <si>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</si>
  <si>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</si>
  <si>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</si>
  <si>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</si>
  <si>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</si>
  <si>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</si>
  <si>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</si>
  <si>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</si>
  <si>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</si>
  <si>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</si>
  <si>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</si>
  <si>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</si>
  <si>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</si>
  <si>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</si>
  <si>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</si>
  <si>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</si>
  <si>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</si>
  <si>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</si>
  <si>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</si>
  <si>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</si>
  <si>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</si>
  <si>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</si>
  <si>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</si>
  <si>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</si>
  <si>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</si>
  <si>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</si>
  <si>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</si>
  <si>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</si>
  <si>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</si>
  <si>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</si>
  <si>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</si>
  <si>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</si>
  <si>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</si>
  <si>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</si>
  <si>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</si>
  <si>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</si>
  <si>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</si>
  <si>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</si>
  <si>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</si>
  <si>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</si>
  <si>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</si>
  <si>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</si>
  <si>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</si>
  <si>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</si>
  <si>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</si>
  <si>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</si>
  <si>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</si>
  <si>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</si>
  <si>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</si>
  <si>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</si>
  <si>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</si>
  <si>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</si>
  <si>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</si>
  <si>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</si>
  <si>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</si>
  <si>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</si>
  <si>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</si>
  <si>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</si>
  <si>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</si>
  <si>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</si>
  <si>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</si>
  <si>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</si>
  <si>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</si>
  <si>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</si>
  <si>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</si>
  <si>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</si>
  <si>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</si>
  <si>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</si>
  <si>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</si>
  <si>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</si>
  <si>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</si>
  <si>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</si>
  <si>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</si>
  <si>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</si>
  <si>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</si>
  <si>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</si>
  <si>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</si>
  <si>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</si>
  <si>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</si>
  <si>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</si>
  <si>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</si>
  <si>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</si>
  <si>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</si>
  <si>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</si>
  <si>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</si>
  <si>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</si>
  <si>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</si>
  <si>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</si>
  <si>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</si>
  <si>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</si>
  <si>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</si>
  <si>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</si>
  <si>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</si>
  <si>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</si>
  <si>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</si>
  <si>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</si>
  <si>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</si>
  <si>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</si>
  <si>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</si>
  <si>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</si>
  <si>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</si>
  <si>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</si>
  <si>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</si>
  <si>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</si>
  <si>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</si>
  <si>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</si>
  <si>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</si>
  <si>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</si>
  <si>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</si>
  <si>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</si>
  <si>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</si>
  <si>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</si>
  <si>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</si>
  <si>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</si>
  <si>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</si>
  <si>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</si>
  <si>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</si>
  <si>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</si>
  <si>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</si>
  <si>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</si>
  <si>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</si>
  <si>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</si>
  <si>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</si>
  <si>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</si>
  <si>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</si>
  <si>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</si>
  <si>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</si>
  <si>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</si>
  <si>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</si>
  <si>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</si>
  <si>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</si>
  <si>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</si>
  <si>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</si>
  <si>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</si>
  <si>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</si>
  <si>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</si>
  <si>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</si>
  <si>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</si>
  <si>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</si>
  <si>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</si>
  <si>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</si>
  <si>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</si>
  <si>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</si>
  <si>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</si>
  <si>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</si>
  <si>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</si>
  <si>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</si>
  <si>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</si>
  <si>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</si>
  <si>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</si>
  <si>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</si>
  <si>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</si>
  <si>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</si>
  <si>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</si>
  <si>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</si>
  <si>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</si>
  <si>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</si>
  <si>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</si>
  <si>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</si>
  <si>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</si>
  <si>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</si>
  <si>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</si>
  <si>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</si>
  <si>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</si>
  <si>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</si>
  <si>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</si>
  <si>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</si>
  <si>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</si>
  <si>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</si>
  <si>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</si>
  <si>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</si>
  <si>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</si>
  <si>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</si>
  <si>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</si>
  <si>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</si>
  <si>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</si>
  <si>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</si>
  <si>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</si>
  <si>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</si>
  <si>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</si>
  <si>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</si>
  <si>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</si>
  <si>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</si>
  <si>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</si>
  <si>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</si>
  <si>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</si>
  <si>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</si>
  <si>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</si>
  <si>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</si>
  <si>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</si>
  <si>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</si>
  <si>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</si>
  <si>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</si>
  <si>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</si>
  <si>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</si>
  <si>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</si>
  <si>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</si>
  <si>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</si>
  <si>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</si>
  <si>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</si>
  <si>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</si>
  <si>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</si>
  <si>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</si>
  <si>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</si>
  <si>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</si>
  <si>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</si>
  <si>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</si>
  <si>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</si>
  <si>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</si>
  <si>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</si>
  <si>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</si>
  <si>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</si>
  <si>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</si>
  <si>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</si>
  <si>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</si>
  <si>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</si>
  <si>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</si>
  <si>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</si>
  <si>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</si>
  <si>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</si>
  <si>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</si>
  <si>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</si>
  <si>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</si>
  <si>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</si>
  <si>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</si>
  <si>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</si>
  <si>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</si>
  <si>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</si>
  <si>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</si>
  <si>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</si>
  <si>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</si>
  <si>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</si>
  <si>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</si>
  <si>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</si>
  <si>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</si>
  <si>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</si>
  <si>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</si>
  <si>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</si>
  <si>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</si>
  <si>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</si>
  <si>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</si>
  <si>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</si>
  <si>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</si>
  <si>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</si>
  <si>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</si>
  <si>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</si>
  <si>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</si>
  <si>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</si>
  <si>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</si>
  <si>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</si>
  <si>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</si>
  <si>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</si>
  <si>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</si>
  <si>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</si>
  <si>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</si>
  <si>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</si>
  <si>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</si>
  <si>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</si>
  <si>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</si>
  <si>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</si>
  <si>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</si>
  <si>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</si>
  <si>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</si>
  <si>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</si>
  <si>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</si>
  <si>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</si>
  <si>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</si>
  <si>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</si>
  <si>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</si>
  <si>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</si>
  <si>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</si>
  <si>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</si>
  <si>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</si>
  <si>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</si>
  <si>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</si>
  <si>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</si>
  <si>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</si>
  <si>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</si>
  <si>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</si>
  <si>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</si>
  <si>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</si>
  <si>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</si>
  <si>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</si>
  <si>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</si>
  <si>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</si>
  <si>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</si>
  <si>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</si>
  <si>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</si>
  <si>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</si>
  <si>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</si>
  <si>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</si>
  <si>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</si>
  <si>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</si>
  <si>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</si>
  <si>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</si>
  <si>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</si>
  <si>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</si>
  <si>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</si>
  <si>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</si>
  <si>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</si>
  <si>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</si>
  <si>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</si>
  <si>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</si>
  <si>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</si>
  <si>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</si>
  <si>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</si>
  <si>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</si>
  <si>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</si>
  <si>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</si>
  <si>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</si>
  <si>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</si>
  <si>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</si>
  <si>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</si>
  <si>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</si>
  <si>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</si>
  <si>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</si>
  <si>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</si>
  <si>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</si>
  <si>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</si>
  <si>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</si>
  <si>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</si>
  <si>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</si>
  <si>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</si>
  <si>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</si>
  <si>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</si>
  <si>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</si>
  <si>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</si>
  <si>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</si>
  <si>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</si>
  <si>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</si>
  <si>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</si>
  <si>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</si>
  <si>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</si>
  <si>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</si>
  <si>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</si>
  <si>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</si>
  <si>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</si>
  <si>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</si>
  <si>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</si>
  <si>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</si>
  <si>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</si>
  <si>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</si>
  <si>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</si>
  <si>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</si>
  <si>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</si>
  <si>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</si>
  <si>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</si>
  <si>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</si>
  <si>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</si>
  <si>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</si>
  <si>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</si>
  <si>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</si>
  <si>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</si>
  <si>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</si>
  <si>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</si>
  <si>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</si>
  <si>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</si>
  <si>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</si>
  <si>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</si>
  <si>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</si>
  <si>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</si>
  <si>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</si>
  <si>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</si>
  <si>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</si>
  <si>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</si>
  <si>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</si>
  <si>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</si>
  <si>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</si>
  <si>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</si>
  <si>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</si>
  <si>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</si>
  <si>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</si>
  <si>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</si>
  <si>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</si>
  <si>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</si>
  <si>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</si>
  <si>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</si>
  <si>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</si>
  <si>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</si>
  <si>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</si>
  <si>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</si>
  <si>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</si>
  <si>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</si>
  <si>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</si>
  <si>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</si>
  <si>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</si>
  <si>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</si>
  <si>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</si>
  <si>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</si>
  <si>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</si>
  <si>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</si>
  <si>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</si>
  <si>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</si>
  <si>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</si>
  <si>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</si>
  <si>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</si>
  <si>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</si>
  <si>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</si>
  <si>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</si>
  <si>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</si>
  <si>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</si>
  <si>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</si>
  <si>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</si>
  <si>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</si>
  <si>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</si>
  <si>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</si>
  <si>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</si>
  <si>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</si>
  <si>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</si>
  <si>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</si>
  <si>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</si>
  <si>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</si>
  <si>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</si>
  <si>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</si>
  <si>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</si>
  <si>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</si>
  <si>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</si>
  <si>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</si>
  <si>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</si>
  <si>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</si>
  <si>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</si>
  <si>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</si>
  <si>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</si>
  <si>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</si>
  <si>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</si>
  <si>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</si>
  <si>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</si>
  <si>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</si>
  <si>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</si>
  <si>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</si>
  <si>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</si>
  <si>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</si>
  <si>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</si>
  <si>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</si>
  <si>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</si>
  <si>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</si>
  <si>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</si>
  <si>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</si>
  <si>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</si>
  <si>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</si>
  <si>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</si>
  <si>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</si>
  <si>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</si>
  <si>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</si>
  <si>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</si>
  <si>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</si>
  <si>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</si>
  <si>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</si>
  <si>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</si>
  <si>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</si>
  <si>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</si>
  <si>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</si>
  <si>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</si>
  <si>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</si>
  <si>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</si>
  <si>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</si>
  <si>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</si>
  <si>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</si>
  <si>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</si>
  <si>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</si>
  <si>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</si>
  <si>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</si>
  <si>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</si>
  <si>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</si>
  <si>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</si>
  <si>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</si>
  <si>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</si>
  <si>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</si>
  <si>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</si>
  <si>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</si>
  <si>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</si>
  <si>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</si>
  <si>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</si>
  <si>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</si>
  <si>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</si>
  <si>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</si>
  <si>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</si>
  <si>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</si>
  <si>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</si>
  <si>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</si>
  <si>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</si>
  <si>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</si>
  <si>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</si>
  <si>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</si>
  <si>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</si>
  <si>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</si>
  <si>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</si>
  <si>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</si>
  <si>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</si>
  <si>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</si>
  <si>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</si>
  <si>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</si>
  <si>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</si>
  <si>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</si>
  <si>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</si>
  <si>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</si>
  <si>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</si>
  <si>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</si>
  <si>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</si>
  <si>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</si>
  <si>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</si>
  <si>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</si>
  <si>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</si>
  <si>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</si>
  <si>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</si>
  <si>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</si>
  <si>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</si>
  <si>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</si>
  <si>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</si>
  <si>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</si>
  <si>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</si>
  <si>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</si>
  <si>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</si>
  <si>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</si>
  <si>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</si>
  <si>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</si>
  <si>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</si>
  <si>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</si>
  <si>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</si>
  <si>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</si>
  <si>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</si>
  <si>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</si>
  <si>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</si>
  <si>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</si>
  <si>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</si>
  <si>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</si>
  <si>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</si>
  <si>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</si>
  <si>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</si>
  <si>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</si>
  <si>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</si>
  <si>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</si>
  <si>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</si>
  <si>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</si>
  <si>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</si>
  <si>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</si>
  <si>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</si>
  <si>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</si>
  <si>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</si>
  <si>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</si>
  <si>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</si>
  <si>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</si>
  <si>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</si>
  <si>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</si>
  <si>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</si>
  <si>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</si>
  <si>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</si>
  <si>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</si>
  <si>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</si>
  <si>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</si>
  <si>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</si>
  <si>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</si>
  <si>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</si>
  <si>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</si>
  <si>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</si>
  <si>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</si>
  <si>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</si>
  <si>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</si>
  <si>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</si>
  <si>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</si>
  <si>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</si>
  <si>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</si>
  <si>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</si>
  <si>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</si>
  <si>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</si>
  <si>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</si>
  <si>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</si>
  <si>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</si>
  <si>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</si>
  <si>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</si>
  <si>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</si>
  <si>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</si>
  <si>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</si>
  <si>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</si>
  <si>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</si>
  <si>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</si>
  <si>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</si>
  <si>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</si>
  <si>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</si>
  <si>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</si>
  <si>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</si>
  <si>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</si>
  <si>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</si>
  <si>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</si>
  <si>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</si>
  <si>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</si>
  <si>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</si>
  <si>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</si>
  <si>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</si>
  <si>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</si>
  <si>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</si>
  <si>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</si>
  <si>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</si>
  <si>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</si>
  <si>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</si>
  <si>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</si>
  <si>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</si>
  <si>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</si>
  <si>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</si>
  <si>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</si>
  <si>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</si>
  <si>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</si>
  <si>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</si>
  <si>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</si>
  <si>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</si>
  <si>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</si>
  <si>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</si>
  <si>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</si>
  <si>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</si>
  <si>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</si>
  <si>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</si>
  <si>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</si>
  <si>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</si>
  <si>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</si>
  <si>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</si>
  <si>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</si>
  <si>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</si>
  <si>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</si>
  <si>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</si>
  <si>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</si>
  <si>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</si>
  <si>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</si>
  <si>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</si>
  <si>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</si>
  <si>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</si>
  <si>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</si>
  <si>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</si>
  <si>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</si>
  <si>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</si>
  <si>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</si>
  <si>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</si>
  <si>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</si>
  <si>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</si>
  <si>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</si>
  <si>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</si>
  <si>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</si>
  <si>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</si>
  <si>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</si>
  <si>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</si>
  <si>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</si>
  <si>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</si>
  <si>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</si>
  <si>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</si>
  <si>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</si>
  <si>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</si>
  <si>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</si>
  <si>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</si>
  <si>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</si>
  <si>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</si>
  <si>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</si>
  <si>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</si>
  <si>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</si>
  <si>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</si>
  <si>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</si>
  <si>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</si>
  <si>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</si>
  <si>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</si>
  <si>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</si>
  <si>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</si>
  <si>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</si>
  <si>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</si>
  <si>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</si>
  <si>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</si>
  <si>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</si>
  <si>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</si>
  <si>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</si>
  <si>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</si>
  <si>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</si>
  <si>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</si>
  <si>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</si>
  <si>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</si>
  <si>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</si>
  <si>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</si>
  <si>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</si>
  <si>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</si>
  <si>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</si>
  <si>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</si>
  <si>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</si>
  <si>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</si>
  <si>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</si>
  <si>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</si>
  <si>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</si>
  <si>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</si>
  <si>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</si>
  <si>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</si>
  <si>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</si>
  <si>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</si>
  <si>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</si>
  <si>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</si>
  <si>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</si>
  <si>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</si>
  <si>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</si>
  <si>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</si>
  <si>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</si>
  <si>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</si>
  <si>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</si>
  <si>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</si>
  <si>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</si>
  <si>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</si>
  <si>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</si>
  <si>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</si>
  <si>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</si>
  <si>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</si>
  <si>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</si>
  <si>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</si>
  <si>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</si>
  <si>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</si>
  <si>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</si>
  <si>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</si>
  <si>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</si>
  <si>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</si>
  <si>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</si>
  <si>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</si>
  <si>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</si>
  <si>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</si>
  <si>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</si>
  <si>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</si>
  <si>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</si>
  <si>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</si>
  <si>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</si>
  <si>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</si>
  <si>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</si>
  <si>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</si>
  <si>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</si>
  <si>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</si>
  <si>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</si>
  <si>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</si>
  <si>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</si>
  <si>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</si>
  <si>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</si>
  <si>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</si>
  <si>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</si>
  <si>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</si>
  <si>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</si>
  <si>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</si>
  <si>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</si>
  <si>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</si>
  <si>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</si>
  <si>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</si>
  <si>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</si>
  <si>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</si>
  <si>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</si>
  <si>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</si>
  <si>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</si>
  <si>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</si>
  <si>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</si>
  <si>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</si>
  <si>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</si>
  <si>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</si>
  <si>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</si>
  <si>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</si>
  <si>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</si>
  <si>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</si>
  <si>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</si>
  <si>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</si>
  <si>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</si>
  <si>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</si>
  <si>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</si>
  <si>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</si>
  <si>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</si>
  <si>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</si>
  <si>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</si>
  <si>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</si>
  <si>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</si>
  <si>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</si>
  <si>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</si>
  <si>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</si>
  <si>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</si>
  <si>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</si>
  <si>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</si>
  <si>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</si>
  <si>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</si>
  <si>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</si>
  <si>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</si>
  <si>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</si>
  <si>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</si>
  <si>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</si>
  <si>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</si>
  <si>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</si>
  <si>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</si>
  <si>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</si>
  <si>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</si>
  <si>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</si>
  <si>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</si>
  <si>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</si>
  <si>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</si>
  <si>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</si>
  <si>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</si>
  <si>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</si>
  <si>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</si>
  <si>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</si>
  <si>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</si>
  <si>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</si>
  <si>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</si>
  <si>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</si>
  <si>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</si>
  <si>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</si>
  <si>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</si>
  <si>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</si>
  <si>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</si>
  <si>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</si>
  <si>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</si>
  <si>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</si>
  <si>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</si>
  <si>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</si>
  <si>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</si>
  <si>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</si>
  <si>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</si>
  <si>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</si>
  <si>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</si>
  <si>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</si>
  <si>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</si>
  <si>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</si>
  <si>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</si>
  <si>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</si>
  <si>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</si>
  <si>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</si>
  <si>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</si>
  <si>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</si>
  <si>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</si>
  <si>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</si>
  <si>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</si>
  <si>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</si>
  <si>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</si>
  <si>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</si>
  <si>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</si>
  <si>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</si>
  <si>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</si>
  <si>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</si>
  <si>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</si>
  <si>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</si>
  <si>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</si>
  <si>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</si>
  <si>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</si>
  <si>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</si>
  <si>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</si>
  <si>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</si>
  <si>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</si>
  <si>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</si>
  <si>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</si>
  <si>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</si>
  <si>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</si>
  <si>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</si>
  <si>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</si>
  <si>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</si>
  <si>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</si>
  <si>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</si>
  <si>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</si>
  <si>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</si>
  <si>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</si>
  <si>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</si>
  <si>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</si>
  <si>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</si>
  <si>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</si>
  <si>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</si>
  <si>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</si>
  <si>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</si>
  <si>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</si>
  <si>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</si>
  <si>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</si>
  <si>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</si>
  <si>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</si>
  <si>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</si>
  <si>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</si>
  <si>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</si>
  <si>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</si>
  <si>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</si>
  <si>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</si>
  <si>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</si>
  <si>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</si>
  <si>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</si>
  <si>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</si>
  <si>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</si>
  <si>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</si>
  <si>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</si>
  <si>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</si>
  <si>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</si>
  <si>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</si>
  <si>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</si>
  <si>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</si>
  <si>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</si>
  <si>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</si>
  <si>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</si>
  <si>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</si>
  <si>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</si>
  <si>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</si>
  <si>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</si>
  <si>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</si>
  <si>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</si>
  <si>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</si>
  <si>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</si>
  <si>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</si>
  <si>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</si>
  <si>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</si>
  <si>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</si>
  <si>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</si>
  <si>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</si>
  <si>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</si>
  <si>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</si>
  <si>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</si>
  <si>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</si>
  <si>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</si>
  <si>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</si>
  <si>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</si>
  <si>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</si>
  <si>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</si>
  <si>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</si>
  <si>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</si>
  <si>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</si>
  <si>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</si>
  <si>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</si>
  <si>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</si>
  <si>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</si>
  <si>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</si>
  <si>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</si>
  <si>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</si>
  <si>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</si>
  <si>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</si>
  <si>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</si>
  <si>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</si>
  <si>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</si>
  <si>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</si>
  <si>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</si>
  <si>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</si>
  <si>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</si>
  <si>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</si>
  <si>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</si>
  <si>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</si>
  <si>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</si>
  <si>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</si>
  <si>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</si>
  <si>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</si>
  <si>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</si>
  <si>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</si>
  <si>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</si>
  <si>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</si>
  <si>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</si>
  <si>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</si>
  <si>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</si>
  <si>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</si>
  <si>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</si>
  <si>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</si>
  <si>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</si>
  <si>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</si>
  <si>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</si>
  <si>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</si>
  <si>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</si>
  <si>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</si>
  <si>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</si>
  <si>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</si>
  <si>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</si>
  <si>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</si>
  <si>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</si>
  <si>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</si>
  <si>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</si>
  <si>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</si>
  <si>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</si>
  <si>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</si>
  <si>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</si>
  <si>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</si>
  <si>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</si>
  <si>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</si>
  <si>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</si>
  <si>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</si>
  <si>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</si>
  <si>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</si>
  <si>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</si>
  <si>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</si>
  <si>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</si>
  <si>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</si>
  <si>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</si>
  <si>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</si>
  <si>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</si>
  <si>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</si>
  <si>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</si>
  <si>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</si>
  <si>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</si>
  <si>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</si>
  <si>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</si>
  <si>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</si>
  <si>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</si>
  <si>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</si>
  <si>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</si>
  <si>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</si>
  <si>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</si>
  <si>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</si>
  <si>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</si>
  <si>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</si>
  <si>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</si>
  <si>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</si>
  <si>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</si>
  <si>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</si>
  <si>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</si>
  <si>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</si>
  <si>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</si>
  <si>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</si>
  <si>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</si>
  <si>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</si>
  <si>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</si>
  <si>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</si>
  <si>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</si>
  <si>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</si>
  <si>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</si>
  <si>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</si>
  <si>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</si>
  <si>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</si>
  <si>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</si>
  <si>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</si>
  <si>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</si>
  <si>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</si>
  <si>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</si>
  <si>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</si>
  <si>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</si>
  <si>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</si>
  <si>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</si>
  <si>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</si>
  <si>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</si>
  <si>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</si>
  <si>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</si>
  <si>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</si>
  <si>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</si>
  <si>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</si>
  <si>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</si>
  <si>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</si>
  <si>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</si>
  <si>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</si>
  <si>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</si>
  <si>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</si>
  <si>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</si>
  <si>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</si>
  <si>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</si>
  <si>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</si>
  <si>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</si>
  <si>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</si>
  <si>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</si>
  <si>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</si>
  <si>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</si>
  <si>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</si>
  <si>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</si>
  <si>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</si>
  <si>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</si>
  <si>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</si>
  <si>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</si>
  <si>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</si>
  <si>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</si>
  <si>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</si>
  <si>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</si>
  <si>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</si>
  <si>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</si>
  <si>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</si>
  <si>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</si>
  <si>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</si>
  <si>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</si>
  <si>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</si>
  <si>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</si>
  <si>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</si>
  <si>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</si>
  <si>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</si>
  <si>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</si>
  <si>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</si>
  <si>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</si>
  <si>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</si>
  <si>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</si>
  <si>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</si>
  <si>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</si>
  <si>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</si>
  <si>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</si>
  <si>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</si>
  <si>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</si>
  <si>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</si>
  <si>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</si>
  <si>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</si>
  <si>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</si>
  <si>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</si>
  <si>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</si>
  <si>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</si>
  <si>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</si>
  <si>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</si>
  <si>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</si>
  <si>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</si>
  <si>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</si>
  <si>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</si>
  <si>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</si>
  <si>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</si>
  <si>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</si>
  <si>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</si>
  <si>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</si>
  <si>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</si>
  <si>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</si>
  <si>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</si>
  <si>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</si>
  <si>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</si>
  <si>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</si>
  <si>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</si>
  <si>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</si>
  <si>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</si>
  <si>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</si>
  <si>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</si>
  <si>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</si>
  <si>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</si>
  <si>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</si>
  <si>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</si>
  <si>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</si>
  <si>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</si>
  <si>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</si>
  <si>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</si>
  <si>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</si>
  <si>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</si>
  <si>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</si>
  <si>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</si>
  <si>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</si>
  <si>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</si>
  <si>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</si>
  <si>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</si>
  <si>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</si>
  <si>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</si>
  <si>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</si>
  <si>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</si>
  <si>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</si>
  <si>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</si>
  <si>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</si>
  <si>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</si>
  <si>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</si>
  <si>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</si>
  <si>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</si>
  <si>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</si>
  <si>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</si>
  <si>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</si>
  <si>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</si>
  <si>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</si>
  <si>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</si>
  <si>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</si>
  <si>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</si>
  <si>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</si>
  <si>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</si>
  <si>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</si>
  <si>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</si>
  <si>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</si>
  <si>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</si>
  <si>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</si>
  <si>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</si>
  <si>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</si>
  <si>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</si>
  <si>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</si>
  <si>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</si>
  <si>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</si>
  <si>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</si>
  <si>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</si>
  <si>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</si>
  <si>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</si>
  <si>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</si>
  <si>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</si>
  <si>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</si>
  <si>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</si>
  <si>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</si>
  <si>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</si>
  <si>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</si>
  <si>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</si>
  <si>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</si>
  <si>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</si>
  <si>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</si>
  <si>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</si>
  <si>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</si>
  <si>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</si>
  <si>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</si>
  <si>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</si>
  <si>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</si>
  <si>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</si>
  <si>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</si>
  <si>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</si>
  <si>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</si>
  <si>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</si>
  <si>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</si>
  <si>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</si>
  <si>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</si>
  <si>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</si>
  <si>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</si>
  <si>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</si>
  <si>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</si>
  <si>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</si>
  <si>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</si>
  <si>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</si>
  <si>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</si>
  <si>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</si>
  <si>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</si>
  <si>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</si>
  <si>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</si>
  <si>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</si>
  <si>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</si>
  <si>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</si>
  <si>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</si>
  <si>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</si>
  <si>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</si>
  <si>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</si>
  <si>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</si>
  <si>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</si>
  <si>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</si>
  <si>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</si>
  <si>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</si>
  <si>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</si>
  <si>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</si>
  <si>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</si>
  <si>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</si>
  <si>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</si>
  <si>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</si>
  <si>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</si>
  <si>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</si>
  <si>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</si>
  <si>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</si>
  <si>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</si>
  <si>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</si>
  <si>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</si>
  <si>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</si>
  <si>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</si>
  <si>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</si>
  <si>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</si>
  <si>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</si>
  <si>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</si>
  <si>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</si>
  <si>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</si>
  <si>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</si>
  <si>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</si>
  <si>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</si>
  <si>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</si>
  <si>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</si>
  <si>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</si>
  <si>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</si>
  <si>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</si>
  <si>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</si>
  <si>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</si>
  <si>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</si>
  <si>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</si>
  <si>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</si>
  <si>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</si>
  <si>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</si>
  <si>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</si>
  <si>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</si>
  <si>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</si>
  <si>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</si>
  <si>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</si>
  <si>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</si>
  <si>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</si>
  <si>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</si>
  <si>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</si>
  <si>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</si>
  <si>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</si>
  <si>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</si>
  <si>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</si>
  <si>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</si>
  <si>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</si>
  <si>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</si>
  <si>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</si>
  <si>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</si>
  <si>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</si>
  <si>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</si>
  <si>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</si>
  <si>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</si>
  <si>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</si>
  <si>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</si>
  <si>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</si>
  <si>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</si>
  <si>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</si>
  <si>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</si>
  <si>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</si>
  <si>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</si>
  <si>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</si>
  <si>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</si>
  <si>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</si>
  <si>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</si>
  <si>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</si>
  <si>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</si>
  <si>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</si>
  <si>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</si>
  <si>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</si>
  <si>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</si>
  <si>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</si>
  <si>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</si>
  <si>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</si>
  <si>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</si>
  <si>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</si>
  <si>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</si>
  <si>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</si>
  <si>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</si>
  <si>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</si>
  <si>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</si>
  <si>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</si>
  <si>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</si>
  <si>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</si>
  <si>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</si>
  <si>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</si>
  <si>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</si>
  <si>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</si>
  <si>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</si>
  <si>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</si>
  <si>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</si>
  <si>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</si>
  <si>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</si>
  <si>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</si>
  <si>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</si>
  <si>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</si>
  <si>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</si>
  <si>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</si>
  <si>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</si>
  <si>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</si>
  <si>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</si>
  <si>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</si>
  <si>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</si>
  <si>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</si>
  <si>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</si>
  <si>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</si>
  <si>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</si>
  <si>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</si>
  <si>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</si>
  <si>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</si>
  <si>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</si>
  <si>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</si>
  <si>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</si>
  <si>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</si>
  <si>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</si>
  <si>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</si>
  <si>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</si>
  <si>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</si>
  <si>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</si>
  <si>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</si>
  <si>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</si>
  <si>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</si>
  <si>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</si>
  <si>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</si>
  <si>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</si>
  <si>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</si>
  <si>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</si>
  <si>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</si>
  <si>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</si>
  <si>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</si>
  <si>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</si>
  <si>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</si>
  <si>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</si>
  <si>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</si>
  <si>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</si>
  <si>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</si>
  <si>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</si>
  <si>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</si>
  <si>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</si>
  <si>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</si>
  <si>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</si>
  <si>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</si>
  <si>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</si>
  <si>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</si>
  <si>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</si>
  <si>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</si>
  <si>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</si>
  <si>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</si>
  <si>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</si>
  <si>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</si>
  <si>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</si>
  <si>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</si>
  <si>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</si>
  <si>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</si>
  <si>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</si>
  <si>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</si>
  <si>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</si>
  <si>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</si>
  <si>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</si>
  <si>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</si>
  <si>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</si>
  <si>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</si>
  <si>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</si>
  <si>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</si>
  <si>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</si>
  <si>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</si>
  <si>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</si>
  <si>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</si>
  <si>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</si>
  <si>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</si>
  <si>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</si>
  <si>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</si>
  <si>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</si>
  <si>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</si>
  <si>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</si>
  <si>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</si>
  <si>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</si>
  <si>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</si>
  <si>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</si>
  <si>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</si>
  <si>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</si>
  <si>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</si>
  <si>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</si>
  <si>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</si>
  <si>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</si>
  <si>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</si>
  <si>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</si>
  <si>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</si>
  <si>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</si>
  <si>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</si>
  <si>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</si>
  <si>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</si>
  <si>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</si>
  <si>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</si>
  <si>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</si>
  <si>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</si>
  <si>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</si>
  <si>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</si>
  <si>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</si>
  <si>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</si>
  <si>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</si>
  <si>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</si>
  <si>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</si>
  <si>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</si>
  <si>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</si>
  <si>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</si>
  <si>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</si>
  <si>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</si>
  <si>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</si>
  <si>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</si>
  <si>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</si>
  <si>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</si>
  <si>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</si>
  <si>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</si>
  <si>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</si>
  <si>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</si>
  <si>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</si>
  <si>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</si>
  <si>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</si>
  <si>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</si>
  <si>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</si>
  <si>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</si>
  <si>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</si>
  <si>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</si>
  <si>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</si>
  <si>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</si>
  <si>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</si>
  <si>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</si>
  <si>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</si>
  <si>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</si>
  <si>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</si>
  <si>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</si>
  <si>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</si>
  <si>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</si>
  <si>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</si>
  <si>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</si>
  <si>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</si>
  <si>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</si>
  <si>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</si>
  <si>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</si>
  <si>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</si>
  <si>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</si>
  <si>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</si>
  <si>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</si>
  <si>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</si>
  <si>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</si>
  <si>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</si>
  <si>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</si>
  <si>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</si>
  <si>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</si>
  <si>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</si>
  <si>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</si>
  <si>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</si>
  <si>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</si>
  <si>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</si>
  <si>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</si>
  <si>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</si>
  <si>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</si>
  <si>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</si>
  <si>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</si>
  <si>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</si>
  <si>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</si>
  <si>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</si>
  <si>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</si>
  <si>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</si>
  <si>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</si>
  <si>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</si>
  <si>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</si>
  <si>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</si>
  <si>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</si>
  <si>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</si>
  <si>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</si>
  <si>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</si>
  <si>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</si>
  <si>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</si>
  <si>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</si>
  <si>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</si>
  <si>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</si>
  <si>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</si>
  <si>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</si>
  <si>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</si>
  <si>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</si>
  <si>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</si>
  <si>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</si>
  <si>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</si>
  <si>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</si>
  <si>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</si>
  <si>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</si>
  <si>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</si>
  <si>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</si>
  <si>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</si>
  <si>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</si>
  <si>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</si>
  <si>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</si>
  <si>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</si>
  <si>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</si>
  <si>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</si>
  <si>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</si>
  <si>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</si>
  <si>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</si>
  <si>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</si>
  <si>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</si>
  <si>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</si>
  <si>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</si>
  <si>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</si>
  <si>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</si>
  <si>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</si>
  <si>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</si>
  <si>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</si>
  <si>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</si>
  <si>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</si>
  <si>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</si>
  <si>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</si>
  <si>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</si>
  <si>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</si>
  <si>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</si>
  <si>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</si>
  <si>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</si>
  <si>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</si>
  <si>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</si>
  <si>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</si>
  <si>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</si>
  <si>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</si>
  <si>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</si>
  <si>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</si>
  <si>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</si>
  <si>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</si>
  <si>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</si>
  <si>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</si>
  <si>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</si>
  <si>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</si>
  <si>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</si>
  <si>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</si>
  <si>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</si>
  <si>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</si>
  <si>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</si>
  <si>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</si>
  <si>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</si>
  <si>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</si>
  <si>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</si>
  <si>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</si>
  <si>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</si>
  <si>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</si>
  <si>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</si>
  <si>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</si>
  <si>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</si>
  <si>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</si>
  <si>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</si>
  <si>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</si>
  <si>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</si>
  <si>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</si>
  <si>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</si>
  <si>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</si>
  <si>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</si>
  <si>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</si>
  <si>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</si>
  <si>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</si>
  <si>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</si>
  <si>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</si>
  <si>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</si>
  <si>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</si>
  <si>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</si>
  <si>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</si>
  <si>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</si>
  <si>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</si>
  <si>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</si>
  <si>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</si>
  <si>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</si>
  <si>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</si>
  <si>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</si>
  <si>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</si>
  <si>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</si>
  <si>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</si>
  <si>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</si>
  <si>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</si>
  <si>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</si>
  <si>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</si>
  <si>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</si>
  <si>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</si>
  <si>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</si>
  <si>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</si>
  <si>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</si>
  <si>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</si>
  <si>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</si>
  <si>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</si>
  <si>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</si>
  <si>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</si>
  <si>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</si>
  <si>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</si>
  <si>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</si>
  <si>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</si>
  <si>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</si>
  <si>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</si>
  <si>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</si>
  <si>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</si>
  <si>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</si>
  <si>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</si>
  <si>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</si>
  <si>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</si>
  <si>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</si>
  <si>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</si>
  <si>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</si>
  <si>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</si>
  <si>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</si>
  <si>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</si>
  <si>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</si>
  <si>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</si>
  <si>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</si>
  <si>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</si>
  <si>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</si>
  <si>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</si>
  <si>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</si>
  <si>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</si>
  <si>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</si>
  <si>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</si>
  <si>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</si>
  <si>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</si>
  <si>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</si>
  <si>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</si>
  <si>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</si>
  <si>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</si>
  <si>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</si>
  <si>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</si>
  <si>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</si>
  <si>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</si>
  <si>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</si>
  <si>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</si>
  <si>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</si>
  <si>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</si>
  <si>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</si>
  <si>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</si>
  <si>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</si>
  <si>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</si>
  <si>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</si>
  <si>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</si>
  <si>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</si>
  <si>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</si>
  <si>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</si>
  <si>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</si>
  <si>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</si>
  <si>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</si>
  <si>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</si>
  <si>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</si>
  <si>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</si>
  <si>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</si>
  <si>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</si>
  <si>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</si>
  <si>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</si>
  <si>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</si>
  <si>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</si>
  <si>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</si>
  <si>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</si>
  <si>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</si>
  <si>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</si>
  <si>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</si>
  <si>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</si>
  <si>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</si>
  <si>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</si>
  <si>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</si>
  <si>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</si>
  <si>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</si>
  <si>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</si>
  <si>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</si>
  <si>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</si>
  <si>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</si>
  <si>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</si>
  <si>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</si>
  <si>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</si>
  <si>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</si>
  <si>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</si>
  <si>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</si>
  <si>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</si>
  <si>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</si>
  <si>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</si>
  <si>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</si>
  <si>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</si>
  <si>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</si>
  <si>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</si>
  <si>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</si>
  <si>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</si>
  <si>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</si>
  <si>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</si>
  <si>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</si>
  <si>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</si>
  <si>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</si>
  <si>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</si>
  <si>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</si>
  <si>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</si>
  <si>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</si>
  <si>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</si>
  <si>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</si>
  <si>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</si>
  <si>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</si>
  <si>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</si>
  <si>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</si>
  <si>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</si>
  <si>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</si>
  <si>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</si>
  <si>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</si>
  <si>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</si>
  <si>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</si>
  <si>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</si>
  <si>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</si>
  <si>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</si>
  <si>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</si>
  <si>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</si>
  <si>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</si>
  <si>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</si>
  <si>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</si>
  <si>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</si>
  <si>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</si>
  <si>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</si>
  <si>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</si>
  <si>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</si>
  <si>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</si>
  <si>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</si>
  <si>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</si>
  <si>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</si>
  <si>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</si>
  <si>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</si>
  <si>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</si>
  <si>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</si>
  <si>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</si>
  <si>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</si>
  <si>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</si>
  <si>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</si>
  <si>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</si>
  <si>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</si>
  <si>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</si>
  <si>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</si>
  <si>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</si>
  <si>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</si>
  <si>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</si>
  <si>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</si>
  <si>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</si>
  <si>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</si>
  <si>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</si>
  <si>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</si>
  <si>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</si>
  <si>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</si>
  <si>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</si>
  <si>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</si>
  <si>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</si>
  <si>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</si>
  <si>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</si>
  <si>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</si>
  <si>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</si>
  <si>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</si>
  <si>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</si>
  <si>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</si>
  <si>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</si>
  <si>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</si>
  <si>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</si>
  <si>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</si>
  <si>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</si>
  <si>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</si>
  <si>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</si>
  <si>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</si>
  <si>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</si>
  <si>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</si>
  <si>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</si>
  <si>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</si>
  <si>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</si>
  <si>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</si>
  <si>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</si>
  <si>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</si>
  <si>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</si>
  <si>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</si>
  <si>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</si>
  <si>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</si>
  <si>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</si>
  <si>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</si>
  <si>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</si>
  <si>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</si>
  <si>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</si>
  <si>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</si>
  <si>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</si>
  <si>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</si>
  <si>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</si>
  <si>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</si>
  <si>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</si>
  <si>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</si>
  <si>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</si>
  <si>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</si>
  <si>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</si>
  <si>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</si>
  <si>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</si>
  <si>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</si>
  <si>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</si>
  <si>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</si>
  <si>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</si>
  <si>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</si>
  <si>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</si>
  <si>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</si>
  <si>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</si>
  <si>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</si>
  <si>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</si>
  <si>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</si>
  <si>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</si>
  <si>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</si>
  <si>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</si>
  <si>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</si>
  <si>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</si>
  <si>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</si>
  <si>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</si>
  <si>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</si>
  <si>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</si>
  <si>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</si>
  <si>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</si>
  <si>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</si>
  <si>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</si>
  <si>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</si>
  <si>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</si>
  <si>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</si>
  <si>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</si>
  <si>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</si>
  <si>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</si>
  <si>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</si>
  <si>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</si>
  <si>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</si>
  <si>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</si>
  <si>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</si>
  <si>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</si>
  <si>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</si>
  <si>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</si>
  <si>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</si>
  <si>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</si>
  <si>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</si>
  <si>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</si>
  <si>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</si>
  <si>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</si>
  <si>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</si>
  <si>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</si>
  <si>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</si>
  <si>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</si>
  <si>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</si>
  <si>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</si>
  <si>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</si>
  <si>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</si>
  <si>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</si>
  <si>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</si>
  <si>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</si>
  <si>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</si>
  <si>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</si>
  <si>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</si>
  <si>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</si>
  <si>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</si>
  <si>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</si>
  <si>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</si>
  <si>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</si>
  <si>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</si>
  <si>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</si>
  <si>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</si>
  <si>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</si>
  <si>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</si>
  <si>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</si>
  <si>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</si>
  <si>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</si>
  <si>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</si>
  <si>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</si>
  <si>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</si>
  <si>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</si>
  <si>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</si>
  <si>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</si>
  <si>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</si>
  <si>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</si>
  <si>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</si>
  <si>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</si>
  <si>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</si>
  <si>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</si>
  <si>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</si>
  <si>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</si>
  <si>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</si>
  <si>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</si>
  <si>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</si>
  <si>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</si>
  <si>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</si>
  <si>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</si>
  <si>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</si>
  <si>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</si>
  <si>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</si>
  <si>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</si>
  <si>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</si>
  <si>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</si>
  <si>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</si>
  <si>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</si>
  <si>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</si>
  <si>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</si>
  <si>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</si>
  <si>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</si>
  <si>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</si>
  <si>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</si>
  <si>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</si>
  <si>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</si>
  <si>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</si>
  <si>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</si>
  <si>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</si>
  <si>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</si>
  <si>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</si>
  <si>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</si>
  <si>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</si>
  <si>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</si>
  <si>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</si>
  <si>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</si>
  <si>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</si>
  <si>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</si>
  <si>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</si>
  <si>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</si>
  <si>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</si>
  <si>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</si>
  <si>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</si>
  <si>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</si>
  <si>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</si>
  <si>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</si>
  <si>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</si>
  <si>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</si>
  <si>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</si>
  <si>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</si>
  <si>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</si>
  <si>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</si>
  <si>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</si>
  <si>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</si>
  <si>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</si>
  <si>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</si>
  <si>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</si>
  <si>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</si>
  <si>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</si>
  <si>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</si>
  <si>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</si>
  <si>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</si>
  <si>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</si>
  <si>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</si>
  <si>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</si>
  <si>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</si>
  <si>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</si>
  <si>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</si>
  <si>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</si>
  <si>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</si>
  <si>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</si>
  <si>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</si>
  <si>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</si>
  <si>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</si>
  <si>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</si>
  <si>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</si>
  <si>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</si>
  <si>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</si>
  <si>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</si>
  <si>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</si>
  <si>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</si>
  <si>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</si>
  <si>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</si>
  <si>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</si>
  <si>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</si>
  <si>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</si>
  <si>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</si>
  <si>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</si>
  <si>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</si>
  <si>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</si>
  <si>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</si>
  <si>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</si>
  <si>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</si>
  <si>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</si>
  <si>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</si>
  <si>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</si>
  <si>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</si>
  <si>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</si>
  <si>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</si>
  <si>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</si>
  <si>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</si>
  <si>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</si>
  <si>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</si>
  <si>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</si>
  <si>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</si>
  <si>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</si>
  <si>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</si>
  <si>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</si>
  <si>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</si>
  <si>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</si>
  <si>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</si>
  <si>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</si>
  <si>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</si>
  <si>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</si>
  <si>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</si>
  <si>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</si>
  <si>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</si>
  <si>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</si>
  <si>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</si>
  <si>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</si>
  <si>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</si>
  <si>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</si>
  <si>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</si>
  <si>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</si>
  <si>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</si>
  <si>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</si>
  <si>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</si>
  <si>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</si>
  <si>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</si>
  <si>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</si>
  <si>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</si>
  <si>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</si>
  <si>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</si>
  <si>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</si>
  <si>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</si>
  <si>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</si>
  <si>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</si>
  <si>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</si>
  <si>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</si>
  <si>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</si>
  <si>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</si>
  <si>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</si>
  <si>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</si>
  <si>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</si>
  <si>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</si>
  <si>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</si>
  <si>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</si>
  <si>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</si>
  <si>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</si>
  <si>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</si>
  <si>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</si>
  <si>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</si>
  <si>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</si>
  <si>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</si>
  <si>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</si>
  <si>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</si>
  <si>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</si>
  <si>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</si>
  <si>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</si>
  <si>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</si>
  <si>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</si>
  <si>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</si>
  <si>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</si>
  <si>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</si>
  <si>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</si>
  <si>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</si>
  <si>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</si>
  <si>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</si>
  <si>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</si>
  <si>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</si>
  <si>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</si>
  <si>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</si>
  <si>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</si>
  <si>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</si>
  <si>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</si>
  <si>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</si>
  <si>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</si>
  <si>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</si>
  <si>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</si>
  <si>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</si>
  <si>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</si>
  <si>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</si>
  <si>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</si>
  <si>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</si>
  <si>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</si>
  <si>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</si>
  <si>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</si>
  <si>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</si>
  <si>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</si>
  <si>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</si>
  <si>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</si>
  <si>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</si>
  <si>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</si>
  <si>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</si>
  <si>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</si>
  <si>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</si>
  <si>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</si>
  <si>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</si>
  <si>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</si>
  <si>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</si>
  <si>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</si>
  <si>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</si>
  <si>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</si>
  <si>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</si>
  <si>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</si>
  <si>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</si>
  <si>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</si>
  <si>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</si>
  <si>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</si>
  <si>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</si>
  <si>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</si>
  <si>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</si>
  <si>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</si>
  <si>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</si>
  <si>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</si>
  <si>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</si>
  <si>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</si>
  <si>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</si>
  <si>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</si>
  <si>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</si>
  <si>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</si>
  <si>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</si>
  <si>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</si>
  <si>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</si>
  <si>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</si>
  <si>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</si>
  <si>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</si>
  <si>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</si>
  <si>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</si>
  <si>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</si>
  <si>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</si>
  <si>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</si>
  <si>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</si>
  <si>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</si>
  <si>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</si>
  <si>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</si>
  <si>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</si>
  <si>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</si>
  <si>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</si>
  <si>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</si>
  <si>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</si>
  <si>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</si>
  <si>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</si>
  <si>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</si>
  <si>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</si>
  <si>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</si>
  <si>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</si>
  <si>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</si>
  <si>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</si>
  <si>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</si>
  <si>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</si>
  <si>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</si>
  <si>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</si>
  <si>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</si>
  <si>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</si>
  <si>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</si>
  <si>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</si>
  <si>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</si>
  <si>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</si>
  <si>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</si>
  <si>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</si>
  <si>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</si>
  <si>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</si>
  <si>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</si>
  <si>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</si>
  <si>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</si>
  <si>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</si>
  <si>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</si>
  <si>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</si>
  <si>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</si>
  <si>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</si>
  <si>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</si>
  <si>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</si>
  <si>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</si>
  <si>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</si>
  <si>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</si>
  <si>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</si>
  <si>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</si>
  <si>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</si>
  <si>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</si>
  <si>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</si>
  <si>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</si>
  <si>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</si>
  <si>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</si>
  <si>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</si>
  <si>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</si>
  <si>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</si>
  <si>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</si>
  <si>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</si>
  <si>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</si>
  <si>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</si>
  <si>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</si>
  <si>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</si>
  <si>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</si>
  <si>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</si>
  <si>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</si>
  <si>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</si>
  <si>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</si>
  <si>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</si>
  <si>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</si>
  <si>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</si>
  <si>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</si>
  <si>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</si>
  <si>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</si>
  <si>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</si>
  <si>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</si>
  <si>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</si>
  <si>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</si>
  <si>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</si>
  <si>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</si>
  <si>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</si>
  <si>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</si>
  <si>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</si>
  <si>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</si>
  <si>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</si>
  <si>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</si>
  <si>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</si>
  <si>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</si>
  <si>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</si>
  <si>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</si>
  <si>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</si>
  <si>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</si>
  <si>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</si>
  <si>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</si>
  <si>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</si>
  <si>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</si>
  <si>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</si>
  <si>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</si>
  <si>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</si>
  <si>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</si>
  <si>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</si>
  <si>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</si>
  <si>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</si>
  <si>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</si>
  <si>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</si>
  <si>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</si>
  <si>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</si>
  <si>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</si>
  <si>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</si>
  <si>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</si>
  <si>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</si>
  <si>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</si>
  <si>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</si>
  <si>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</si>
  <si>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</si>
  <si>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</si>
  <si>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</si>
  <si>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</si>
  <si>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</si>
  <si>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</si>
  <si>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</si>
  <si>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</si>
  <si>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</si>
  <si>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</si>
  <si>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</si>
  <si>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</si>
  <si>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</si>
  <si>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</si>
  <si>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</si>
  <si>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</si>
  <si>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</si>
  <si>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</si>
  <si>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</si>
  <si>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</si>
  <si>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</si>
  <si>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</si>
  <si>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</si>
  <si>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</si>
  <si>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</si>
  <si>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</si>
  <si>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</si>
  <si>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</si>
  <si>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</si>
  <si>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</si>
  <si>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</si>
  <si>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</si>
  <si>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</si>
  <si>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</si>
  <si>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</si>
  <si>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</si>
  <si>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</si>
  <si>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</si>
  <si>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</si>
  <si>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</si>
  <si>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</si>
  <si>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</si>
  <si>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</si>
  <si>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</si>
  <si>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</si>
  <si>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</si>
  <si>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</si>
  <si>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</si>
  <si>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</si>
  <si>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</si>
  <si>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</si>
  <si>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</si>
  <si>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</si>
  <si>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</si>
  <si>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</si>
  <si>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</si>
  <si>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</si>
  <si>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</si>
  <si>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</si>
  <si>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</si>
  <si>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</si>
  <si>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</si>
  <si>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</si>
  <si>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</si>
  <si>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</si>
  <si>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</si>
  <si>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</si>
  <si>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</si>
  <si>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</si>
  <si>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</si>
  <si>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</si>
  <si>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</si>
  <si>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</si>
  <si>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</si>
  <si>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</si>
  <si>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</si>
  <si>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</si>
  <si>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</si>
  <si>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</si>
  <si>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</si>
  <si>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</si>
  <si>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</si>
  <si>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</si>
  <si>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</si>
  <si>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</si>
  <si>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</si>
  <si>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</si>
  <si>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</si>
  <si>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</si>
  <si>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</si>
  <si>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</si>
  <si>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</si>
  <si>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</si>
  <si>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</si>
  <si>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</si>
  <si>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</si>
  <si>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</si>
  <si>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</si>
  <si>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</si>
  <si>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</si>
  <si>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</si>
  <si>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</si>
  <si>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</si>
  <si>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</si>
  <si>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</si>
  <si>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</si>
  <si>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</si>
  <si>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</si>
  <si>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</si>
  <si>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</si>
  <si>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</si>
  <si>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</si>
  <si>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</si>
  <si>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</si>
  <si>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</si>
  <si>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</si>
  <si>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</si>
  <si>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</si>
  <si>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</si>
  <si>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</si>
  <si>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</si>
  <si>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</si>
  <si>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</si>
  <si>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</si>
  <si>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</si>
  <si>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</si>
  <si>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</si>
  <si>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</si>
  <si>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</si>
  <si>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</si>
  <si>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</si>
  <si>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</si>
  <si>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</si>
  <si>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</si>
  <si>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</si>
  <si>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</si>
  <si>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</si>
  <si>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</si>
  <si>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</si>
  <si>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</si>
  <si>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</si>
  <si>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</si>
  <si>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</si>
  <si>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</si>
  <si>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</si>
  <si>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</si>
  <si>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</si>
  <si>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</si>
  <si>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</si>
  <si>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</si>
  <si>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</si>
  <si>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</si>
  <si>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</si>
  <si>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</si>
  <si>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</si>
  <si>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</si>
  <si>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</si>
  <si>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</si>
  <si>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</si>
  <si>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</si>
  <si>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</si>
  <si>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</si>
  <si>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</si>
  <si>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</si>
  <si>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</si>
  <si>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</si>
  <si>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</si>
  <si>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</si>
  <si>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</si>
  <si>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</si>
  <si>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</si>
  <si>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</si>
  <si>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</si>
  <si>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</si>
  <si>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</si>
  <si>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</si>
  <si>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</si>
  <si>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</si>
  <si>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</si>
  <si>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</si>
  <si>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</si>
  <si>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</si>
  <si>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</si>
  <si>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</si>
  <si>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</si>
  <si>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</si>
  <si>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</si>
  <si>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</si>
  <si>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</si>
  <si>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</si>
  <si>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</si>
  <si>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</si>
  <si>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</si>
  <si>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</si>
  <si>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</si>
  <si>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</si>
  <si>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</si>
  <si>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</si>
  <si>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</si>
  <si>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</si>
  <si>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</si>
  <si>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</si>
  <si>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</si>
  <si>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</si>
  <si>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</si>
  <si>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</si>
  <si>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</si>
  <si>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</si>
  <si>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</si>
  <si>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</si>
  <si>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</si>
  <si>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</si>
  <si>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</si>
  <si>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</si>
  <si>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</si>
  <si>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</si>
  <si>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</si>
  <si>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</si>
  <si>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</si>
  <si>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</si>
  <si>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</si>
  <si>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</si>
  <si>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</si>
  <si>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</si>
  <si>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</si>
  <si>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</si>
  <si>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</si>
  <si>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</si>
  <si>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</si>
  <si>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</si>
  <si>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</si>
  <si>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</si>
  <si>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</si>
  <si>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</si>
  <si>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</si>
  <si>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</si>
  <si>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</si>
  <si>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</si>
  <si>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</si>
  <si>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</si>
  <si>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</si>
  <si>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</si>
  <si>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</si>
  <si>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</si>
  <si>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</si>
  <si>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</si>
  <si>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</si>
  <si>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</si>
  <si>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</si>
  <si>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</si>
  <si>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</si>
  <si>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</si>
  <si>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</si>
  <si>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</si>
  <si>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</si>
  <si>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</si>
  <si>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</si>
  <si>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</si>
  <si>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</si>
  <si>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</si>
  <si>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</si>
  <si>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</si>
  <si>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</si>
  <si>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</si>
  <si>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</si>
  <si>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</si>
  <si>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</si>
  <si>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</si>
  <si>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</si>
  <si>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</si>
  <si>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</si>
  <si>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</si>
  <si>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</si>
  <si>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</si>
  <si>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</si>
  <si>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</si>
  <si>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</si>
  <si>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</si>
  <si>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</si>
  <si>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</si>
  <si>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</si>
  <si>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</si>
  <si>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</si>
  <si>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</si>
  <si>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</si>
  <si>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</si>
  <si>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</si>
  <si>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</si>
  <si>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</si>
  <si>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</si>
  <si>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</si>
  <si>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</si>
  <si>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</si>
  <si>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</si>
  <si>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</si>
  <si>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</si>
  <si>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</si>
  <si>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</si>
  <si>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</si>
  <si>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</si>
  <si>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</si>
  <si>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</si>
  <si>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</si>
  <si>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</si>
  <si>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</si>
  <si>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</si>
  <si>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</si>
  <si>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</si>
  <si>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</si>
  <si>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</si>
  <si>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</si>
  <si>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</si>
  <si>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</si>
  <si>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</si>
  <si>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</si>
  <si>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</si>
  <si>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</si>
  <si>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</si>
  <si>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</si>
  <si>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</si>
  <si>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</si>
  <si>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</si>
  <si>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</si>
  <si>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</si>
  <si>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</si>
  <si>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</si>
  <si>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</si>
  <si>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</si>
  <si>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</si>
  <si>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</si>
  <si>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</si>
  <si>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</si>
  <si>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</si>
  <si>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</si>
  <si>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</si>
  <si>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</si>
  <si>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</si>
  <si>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</si>
  <si>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</si>
  <si>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</si>
  <si>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</si>
  <si>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</si>
  <si>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</si>
  <si>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</si>
  <si>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</si>
  <si>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</si>
  <si>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</si>
  <si>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</si>
  <si>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</si>
  <si>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</si>
  <si>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</si>
  <si>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</si>
  <si>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</si>
  <si>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</si>
  <si>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</si>
  <si>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</si>
  <si>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</si>
  <si>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</si>
  <si>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</si>
  <si>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</si>
  <si>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</si>
  <si>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</si>
  <si>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</si>
  <si>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</si>
  <si>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</si>
  <si>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</si>
  <si>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</si>
  <si>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</si>
  <si>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</si>
  <si>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</si>
  <si>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</si>
  <si>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</si>
  <si>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</si>
  <si>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</si>
  <si>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</si>
  <si>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</si>
  <si>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</si>
  <si>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</si>
  <si>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</si>
  <si>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</si>
  <si>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</si>
  <si>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</si>
  <si>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</si>
  <si>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</si>
  <si>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</si>
  <si>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</si>
  <si>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</si>
  <si>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</si>
  <si>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</si>
  <si>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</si>
  <si>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</si>
  <si>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</si>
  <si>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</si>
  <si>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</si>
  <si>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</si>
  <si>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</si>
  <si>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</si>
  <si>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</si>
  <si>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</si>
  <si>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</si>
  <si>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</si>
  <si>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</si>
  <si>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</si>
  <si>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</si>
  <si>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</si>
  <si>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</si>
  <si>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</si>
  <si>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</si>
  <si>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</si>
  <si>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</si>
  <si>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</si>
  <si>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</si>
  <si>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</si>
  <si>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</si>
  <si>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</si>
  <si>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</si>
  <si>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</si>
  <si>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</si>
  <si>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</si>
  <si>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</si>
  <si>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</si>
  <si>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</si>
  <si>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</si>
  <si>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</si>
  <si>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</si>
  <si>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</si>
  <si>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</si>
  <si>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</si>
  <si>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</si>
  <si>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</si>
  <si>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</si>
  <si>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</si>
  <si>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</si>
  <si>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</si>
  <si>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</si>
  <si>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</si>
  <si>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</si>
  <si>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</si>
  <si>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</si>
  <si>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</si>
  <si>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</si>
  <si>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</si>
  <si>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</si>
  <si>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</si>
  <si>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</si>
  <si>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</si>
  <si>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</si>
  <si>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</si>
  <si>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</si>
  <si>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</si>
  <si>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</si>
  <si>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</si>
  <si>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</si>
  <si>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</si>
  <si>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</si>
  <si>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</si>
  <si>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</si>
  <si>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</si>
  <si>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</si>
  <si>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</si>
  <si>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</si>
  <si>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</si>
  <si>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</si>
  <si>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</si>
  <si>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</si>
  <si>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</si>
  <si>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</si>
  <si>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</si>
  <si>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</si>
  <si>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</si>
  <si>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</si>
  <si>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</si>
  <si>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</si>
  <si>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</si>
  <si>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</si>
  <si>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</si>
  <si>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</si>
  <si>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</si>
  <si>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</si>
  <si>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</si>
  <si>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</si>
  <si>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</si>
  <si>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</si>
  <si>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</si>
  <si>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</si>
  <si>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</si>
  <si>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</si>
  <si>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</si>
  <si>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</si>
  <si>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</si>
  <si>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</si>
  <si>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</si>
  <si>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</si>
  <si>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</si>
  <si>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</si>
  <si>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</si>
  <si>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</si>
  <si>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</si>
  <si>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</si>
  <si>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</si>
  <si>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</si>
  <si>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</si>
  <si>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</si>
  <si>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</si>
  <si>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</si>
  <si>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</si>
  <si>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</si>
  <si>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</si>
  <si>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</si>
  <si>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</si>
  <si>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</si>
  <si>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</si>
  <si>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</si>
  <si>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</si>
  <si>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</si>
  <si>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</si>
  <si>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</si>
  <si>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</si>
  <si>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</si>
  <si>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</si>
  <si>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</si>
  <si>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</si>
  <si>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</si>
  <si>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</si>
  <si>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</si>
  <si>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</si>
  <si>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</si>
  <si>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</si>
  <si>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</si>
  <si>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</si>
  <si>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</si>
  <si>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</si>
  <si>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</si>
  <si>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</si>
  <si>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</si>
  <si>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</si>
  <si>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</si>
  <si>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</si>
  <si>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</si>
  <si>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</si>
  <si>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</si>
  <si>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</si>
  <si>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</si>
  <si>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</si>
  <si>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</si>
  <si>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</si>
  <si>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</si>
  <si>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</si>
  <si>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</si>
  <si>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</si>
  <si>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</si>
  <si>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</si>
  <si>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</si>
  <si>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</si>
  <si>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</si>
  <si>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</si>
  <si>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</si>
  <si>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</si>
  <si>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</si>
  <si>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</si>
  <si>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</si>
  <si>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</si>
  <si>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</si>
  <si>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</si>
  <si>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</si>
  <si>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</si>
  <si>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</si>
  <si>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</si>
  <si>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</si>
  <si>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</si>
  <si>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</si>
  <si>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</si>
  <si>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</si>
  <si>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</si>
  <si>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</si>
  <si>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</si>
  <si>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</si>
  <si>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</si>
  <si>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</si>
  <si>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</si>
  <si>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</si>
  <si>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</si>
  <si>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</si>
  <si>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</si>
  <si>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</si>
  <si>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</si>
  <si>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</si>
  <si>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</si>
  <si>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</si>
  <si>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</si>
  <si>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</si>
  <si>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</si>
  <si>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</si>
  <si>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</si>
  <si>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</si>
  <si>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</si>
  <si>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</si>
  <si>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</si>
  <si>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</si>
  <si>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</si>
  <si>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</si>
  <si>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</si>
  <si>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</si>
  <si>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</si>
  <si>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</si>
  <si>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</si>
  <si>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</si>
  <si>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</si>
  <si>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</si>
  <si>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</si>
  <si>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</si>
  <si>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</si>
  <si>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</si>
  <si>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</si>
  <si>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</si>
  <si>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</si>
  <si>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</si>
  <si>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</si>
  <si>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</si>
  <si>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</si>
  <si>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</si>
  <si>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</si>
  <si>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</si>
  <si>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</si>
  <si>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</si>
  <si>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</si>
  <si>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</si>
  <si>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</si>
  <si>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</si>
  <si>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</si>
  <si>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</si>
  <si>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</si>
  <si>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</si>
  <si>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</si>
  <si>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</si>
  <si>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</si>
  <si>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</si>
  <si>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</si>
  <si>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</si>
  <si>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</si>
  <si>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</si>
  <si>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</si>
  <si>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</si>
  <si>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</si>
  <si>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</si>
  <si>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</si>
  <si>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</si>
  <si>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</si>
  <si>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</si>
  <si>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</si>
  <si>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</si>
  <si>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</si>
  <si>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</si>
  <si>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</si>
  <si>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</si>
  <si>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</si>
  <si>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</si>
  <si>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</si>
  <si>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</si>
  <si>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</si>
  <si>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</si>
  <si>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</si>
  <si>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</si>
  <si>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</si>
  <si>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</si>
  <si>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</si>
  <si>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</si>
  <si>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</si>
  <si>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</si>
  <si>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</si>
  <si>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</si>
  <si>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</si>
  <si>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</si>
  <si>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</si>
  <si>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</si>
  <si>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</si>
  <si>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</si>
  <si>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</si>
  <si>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</si>
  <si>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</si>
  <si>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</si>
  <si>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</si>
  <si>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</si>
  <si>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</si>
  <si>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</si>
  <si>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</si>
  <si>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</si>
  <si>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</si>
  <si>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</si>
  <si>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</si>
  <si>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</si>
  <si>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</si>
  <si>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</si>
  <si>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</si>
  <si>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</si>
  <si>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</si>
  <si>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</si>
  <si>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</si>
  <si>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</si>
  <si>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</si>
  <si>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</si>
  <si>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</si>
  <si>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</si>
  <si>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</si>
  <si>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</si>
  <si>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</si>
  <si>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</si>
  <si>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</si>
  <si>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</si>
  <si>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</si>
  <si>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</si>
  <si>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</si>
  <si>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</si>
  <si>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</si>
  <si>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</si>
  <si>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</si>
  <si>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</si>
  <si>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</si>
  <si>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</si>
  <si>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</si>
  <si>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</si>
  <si>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</si>
  <si>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</si>
  <si>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</si>
  <si>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</si>
  <si>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</si>
  <si>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</si>
  <si>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</si>
  <si>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</si>
  <si>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</si>
  <si>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</si>
  <si>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</si>
  <si>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</si>
  <si>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</si>
  <si>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</si>
  <si>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</si>
  <si>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</si>
  <si>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</si>
  <si>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</si>
  <si>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</si>
  <si>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</si>
  <si>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</si>
  <si>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</si>
  <si>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</si>
  <si>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</si>
  <si>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</si>
  <si>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</si>
  <si>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</si>
  <si>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</si>
  <si>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</si>
  <si>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</si>
  <si>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</si>
  <si>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</si>
  <si>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</si>
  <si>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</si>
  <si>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</si>
  <si>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</si>
  <si>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</si>
  <si>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</si>
  <si>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</si>
  <si>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</si>
  <si>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</si>
  <si>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</si>
  <si>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</si>
  <si>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</si>
  <si>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</si>
  <si>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</si>
  <si>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</si>
  <si>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</si>
  <si>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</si>
  <si>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</si>
  <si>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</si>
  <si>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</si>
  <si>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</si>
  <si>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</si>
  <si>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</si>
  <si>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</si>
  <si>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</si>
  <si>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</si>
  <si>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</si>
  <si>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</si>
  <si>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</si>
  <si>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</si>
  <si>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</si>
  <si>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</si>
  <si>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</si>
  <si>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</si>
  <si>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</si>
  <si>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</si>
  <si>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</si>
  <si>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</si>
  <si>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</si>
  <si>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</si>
  <si>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</si>
  <si>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</si>
  <si>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</si>
  <si>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</si>
  <si>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</si>
  <si>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</si>
  <si>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</si>
  <si>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</si>
  <si>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</si>
  <si>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</si>
  <si>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</si>
  <si>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</si>
  <si>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</si>
  <si>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</si>
  <si>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</si>
  <si>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</si>
  <si>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</si>
  <si>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</si>
  <si>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</si>
  <si>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</si>
  <si>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</si>
  <si>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</si>
  <si>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</si>
  <si>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</si>
  <si>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</si>
  <si>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</si>
  <si>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</si>
  <si>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</si>
  <si>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</si>
  <si>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</si>
  <si>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</si>
  <si>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</si>
  <si>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</si>
  <si>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</si>
  <si>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</si>
  <si>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</si>
  <si>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</si>
  <si>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</si>
  <si>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</si>
  <si>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</si>
  <si>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</si>
  <si>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</si>
  <si>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</si>
  <si>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</si>
  <si>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</si>
  <si>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</si>
  <si>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</si>
  <si>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</si>
  <si>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</si>
  <si>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</si>
  <si>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</si>
  <si>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</si>
  <si>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</si>
  <si>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</si>
  <si>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</si>
  <si>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</si>
  <si>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</si>
  <si>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</si>
  <si>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</si>
  <si>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</si>
  <si>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</si>
  <si>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</si>
  <si>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</si>
  <si>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</si>
  <si>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</si>
  <si>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</si>
  <si>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</si>
  <si>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</si>
  <si>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</si>
  <si>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</si>
  <si>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</si>
  <si>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</si>
  <si>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</si>
  <si>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</si>
  <si>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</si>
  <si>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</si>
  <si>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</si>
  <si>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</si>
  <si>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</si>
  <si>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</si>
  <si>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</si>
  <si>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</si>
  <si>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</si>
  <si>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</si>
  <si>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</si>
  <si>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</si>
  <si>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</si>
  <si>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</si>
  <si>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</si>
  <si>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</si>
  <si>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</si>
  <si>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</si>
  <si>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</si>
  <si>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</si>
  <si>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</si>
  <si>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</si>
  <si>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</si>
  <si>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</si>
  <si>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</si>
  <si>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</si>
  <si>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</si>
  <si>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</si>
  <si>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</si>
  <si>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</si>
  <si>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</si>
  <si>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</si>
  <si>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</si>
  <si>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</si>
  <si>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</si>
  <si>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</si>
  <si>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</si>
  <si>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</si>
  <si>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</si>
  <si>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</si>
  <si>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</si>
  <si>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</si>
  <si>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</si>
  <si>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</si>
  <si>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</si>
  <si>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</si>
  <si>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</si>
  <si>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</si>
  <si>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</si>
  <si>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</si>
  <si>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</si>
  <si>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</si>
  <si>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</si>
  <si>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</si>
  <si>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</si>
  <si>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</si>
  <si>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</si>
  <si>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</si>
  <si>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</si>
  <si>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</si>
  <si>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</si>
  <si>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</si>
  <si>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</si>
  <si>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</si>
  <si>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</si>
  <si>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</si>
  <si>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</si>
  <si>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</si>
  <si>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</si>
  <si>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</si>
  <si>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</si>
  <si>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</si>
  <si>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</si>
  <si>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</si>
  <si>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</si>
  <si>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</si>
  <si>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</si>
  <si>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</si>
  <si>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</si>
  <si>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</si>
  <si>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</si>
  <si>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</si>
  <si>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</si>
  <si>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</si>
  <si>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</si>
  <si>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</si>
  <si>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</si>
  <si>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</si>
  <si>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</si>
  <si>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</si>
  <si>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</si>
  <si>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</si>
  <si>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</si>
  <si>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</si>
  <si>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</si>
  <si>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</si>
  <si>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</si>
  <si>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</si>
  <si>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</si>
  <si>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</si>
  <si>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</si>
  <si>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</si>
  <si>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</si>
  <si>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</si>
  <si>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</si>
  <si>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</si>
  <si>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</si>
  <si>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</si>
  <si>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</si>
  <si>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</si>
  <si>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</si>
  <si>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</si>
  <si>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</si>
  <si>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</si>
  <si>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</si>
  <si>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</si>
  <si>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</si>
  <si>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</si>
  <si>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</si>
  <si>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</si>
  <si>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</si>
  <si>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</si>
  <si>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</si>
  <si>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</si>
  <si>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</si>
  <si>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</si>
  <si>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</si>
  <si>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</si>
  <si>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</si>
  <si>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</si>
  <si>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</si>
  <si>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</si>
  <si>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</si>
  <si>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</si>
  <si>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</si>
  <si>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</si>
  <si>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</si>
  <si>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</si>
  <si>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</si>
  <si>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</si>
  <si>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</si>
  <si>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</si>
  <si>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</si>
  <si>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</si>
  <si>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</si>
  <si>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</si>
  <si>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</si>
  <si>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</si>
  <si>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</si>
  <si>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</si>
  <si>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</si>
  <si>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</si>
  <si>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</si>
  <si>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</si>
  <si>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</si>
  <si>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</si>
  <si>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</si>
  <si>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</si>
  <si>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</si>
  <si>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</si>
  <si>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</si>
  <si>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</si>
  <si>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</si>
  <si>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</si>
  <si>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</si>
  <si>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</si>
  <si>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</si>
  <si>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</si>
  <si>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</si>
  <si>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</si>
  <si>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</si>
  <si>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</si>
  <si>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</si>
  <si>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</si>
  <si>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</si>
  <si>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</si>
  <si>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</si>
  <si>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</si>
  <si>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</si>
  <si>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</si>
  <si>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</si>
  <si>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</si>
  <si>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</si>
  <si>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</si>
  <si>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</si>
  <si>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</si>
  <si>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</si>
  <si>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</si>
  <si>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</si>
  <si>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</si>
  <si>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</si>
  <si>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</si>
  <si>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</si>
  <si>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</si>
  <si>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</si>
  <si>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</si>
  <si>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</si>
  <si>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</si>
  <si>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</si>
  <si>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</si>
  <si>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</si>
  <si>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</si>
  <si>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</si>
  <si>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</si>
  <si>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</si>
  <si>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</si>
  <si>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</si>
  <si>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</si>
  <si>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</si>
  <si>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</si>
  <si>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</si>
  <si>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</si>
  <si>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</si>
  <si>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</si>
  <si>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SLCW Rel 1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</si>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</sst>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5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vertical="center" wrapText="1"/>
    </xf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8" t="s">
        <v>57</v>
      </c>
      <c r="B2" s="158"/>
      <c r="C2" s="158"/>
      <c r="D2" s="158"/>
      <c r="E2" s="15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44041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0" t="s">
        <v>4805</v>
      </c>
      <c r="B22" s="160"/>
      <c r="C22" s="160"/>
      <c r="D22" s="160"/>
      <c r="E22" s="16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9" t="s">
        <v>4806</v>
      </c>
      <c r="B24" s="159"/>
      <c r="C24" s="159"/>
      <c r="D24" s="159"/>
      <c r="E24" s="15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9" t="s">
        <v>61</v>
      </c>
      <c r="B39" s="159"/>
      <c r="C39" s="159"/>
      <c r="D39" s="159"/>
      <c r="E39" s="159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9" t="s">
        <v>62</v>
      </c>
      <c r="B45" s="159"/>
      <c r="C45" s="159"/>
      <c r="D45" s="159"/>
      <c r="E45" s="15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9" t="s">
        <v>43</v>
      </c>
      <c r="B93" s="150"/>
      <c r="C93" s="151"/>
      <c r="D93" s="152" t="s">
        <v>44</v>
      </c>
      <c r="E93" s="153"/>
    </row>
    <row r="94" spans="1:5" x14ac:dyDescent="0.2">
      <c r="A94" s="73" t="s">
        <v>23</v>
      </c>
      <c r="B94" s="154" t="s">
        <v>30</v>
      </c>
      <c r="C94" s="155"/>
      <c r="D94" s="3" t="s">
        <v>46</v>
      </c>
      <c r="E94" s="9">
        <v>8</v>
      </c>
    </row>
    <row r="95" spans="1:5" x14ac:dyDescent="0.2">
      <c r="A95" s="73" t="s">
        <v>24</v>
      </c>
      <c r="B95" s="156" t="s">
        <v>31</v>
      </c>
      <c r="C95" s="157"/>
      <c r="D95" s="3" t="s">
        <v>47</v>
      </c>
      <c r="E95" s="9">
        <v>7</v>
      </c>
    </row>
    <row r="96" spans="1:5" x14ac:dyDescent="0.2">
      <c r="A96" s="73" t="s">
        <v>3</v>
      </c>
      <c r="B96" s="156" t="s">
        <v>32</v>
      </c>
      <c r="C96" s="157"/>
      <c r="D96" s="3" t="s">
        <v>48</v>
      </c>
      <c r="E96" s="9">
        <v>6</v>
      </c>
    </row>
    <row r="97" spans="1:5" x14ac:dyDescent="0.2">
      <c r="A97" s="73" t="s">
        <v>25</v>
      </c>
      <c r="B97" s="156" t="s">
        <v>33</v>
      </c>
      <c r="C97" s="157"/>
      <c r="D97" s="3" t="s">
        <v>49</v>
      </c>
      <c r="E97" s="9">
        <v>5</v>
      </c>
    </row>
    <row r="98" spans="1:5" x14ac:dyDescent="0.2">
      <c r="A98" s="73" t="s">
        <v>26</v>
      </c>
      <c r="B98" s="156" t="s">
        <v>34</v>
      </c>
      <c r="C98" s="157"/>
      <c r="D98" s="3" t="s">
        <v>50</v>
      </c>
      <c r="E98" s="9">
        <v>4</v>
      </c>
    </row>
    <row r="99" spans="1:5" x14ac:dyDescent="0.2">
      <c r="A99" s="73" t="s">
        <v>27</v>
      </c>
      <c r="B99" s="156" t="s">
        <v>35</v>
      </c>
      <c r="C99" s="157"/>
      <c r="D99" s="3" t="s">
        <v>4</v>
      </c>
      <c r="E99" s="9">
        <v>3</v>
      </c>
    </row>
    <row r="100" spans="1:5" x14ac:dyDescent="0.2">
      <c r="A100" s="73" t="s">
        <v>2</v>
      </c>
      <c r="B100" s="156" t="s">
        <v>36</v>
      </c>
      <c r="C100" s="157"/>
      <c r="D100" s="3" t="s">
        <v>5</v>
      </c>
      <c r="E100" s="9">
        <v>2</v>
      </c>
    </row>
    <row r="101" spans="1:5" x14ac:dyDescent="0.2">
      <c r="A101" s="73" t="s">
        <v>28</v>
      </c>
      <c r="B101" s="156" t="s">
        <v>37</v>
      </c>
      <c r="C101" s="15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3" t="s">
        <v>38</v>
      </c>
      <c r="C102" s="164"/>
      <c r="D102" s="5"/>
      <c r="E102" s="8"/>
    </row>
    <row r="103" spans="1:5" ht="13.5" thickBot="1" x14ac:dyDescent="0.25">
      <c r="A103" s="149" t="s">
        <v>68</v>
      </c>
      <c r="B103" s="150"/>
      <c r="C103" s="151"/>
      <c r="D103" s="152" t="s">
        <v>45</v>
      </c>
      <c r="E103" s="15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9" t="s">
        <v>21</v>
      </c>
      <c r="B112" s="150"/>
      <c r="C112" s="153"/>
    </row>
    <row r="113" spans="1:3" x14ac:dyDescent="0.2">
      <c r="A113" s="73">
        <v>1</v>
      </c>
      <c r="B113" s="154" t="s">
        <v>40</v>
      </c>
      <c r="C113" s="155"/>
    </row>
    <row r="114" spans="1:3" x14ac:dyDescent="0.2">
      <c r="A114" s="73" t="s">
        <v>39</v>
      </c>
      <c r="B114" s="156" t="s">
        <v>41</v>
      </c>
      <c r="C114" s="157"/>
    </row>
    <row r="115" spans="1:3" x14ac:dyDescent="0.2">
      <c r="A115" s="74" t="s">
        <v>15</v>
      </c>
      <c r="B115" s="161" t="s">
        <v>42</v>
      </c>
      <c r="C115" s="16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8" t="s">
        <v>127</v>
      </c>
      <c r="B1" s="158"/>
      <c r="C1" s="158"/>
      <c r="D1" s="158"/>
      <c r="E1" s="158"/>
      <c r="F1" s="158"/>
      <c r="G1" s="158"/>
      <c r="H1" s="14"/>
    </row>
    <row r="2" spans="1:14" x14ac:dyDescent="0.2">
      <c r="A2" s="167" t="s">
        <v>138</v>
      </c>
      <c r="B2" s="167"/>
      <c r="C2" s="15"/>
      <c r="D2" s="15"/>
      <c r="E2" s="15"/>
      <c r="F2" s="15"/>
      <c r="G2" s="15"/>
      <c r="H2" s="15"/>
    </row>
    <row r="3" spans="1:14" x14ac:dyDescent="0.2">
      <c r="A3" s="168" t="s">
        <v>52</v>
      </c>
      <c r="B3" s="168"/>
      <c r="C3" s="15"/>
      <c r="D3" s="15"/>
      <c r="E3" s="15"/>
      <c r="F3" s="15"/>
      <c r="G3" s="15"/>
      <c r="H3" s="15"/>
    </row>
    <row r="4" spans="1:14" x14ac:dyDescent="0.2">
      <c r="A4" s="168" t="s">
        <v>55</v>
      </c>
      <c r="B4" s="168"/>
      <c r="C4" s="15"/>
      <c r="D4" s="15"/>
      <c r="E4" s="15"/>
      <c r="F4" s="15"/>
      <c r="G4" s="15"/>
      <c r="H4" s="15"/>
    </row>
    <row r="5" spans="1:14" x14ac:dyDescent="0.2">
      <c r="A5" s="168" t="s">
        <v>51</v>
      </c>
      <c r="B5" s="168"/>
      <c r="C5" s="15"/>
      <c r="D5" s="15"/>
      <c r="E5" s="15"/>
      <c r="F5" s="15"/>
      <c r="G5" s="15"/>
      <c r="H5" s="15"/>
    </row>
    <row r="6" spans="1:14" x14ac:dyDescent="0.2">
      <c r="A6" s="165" t="s">
        <v>128</v>
      </c>
      <c r="B6" s="165"/>
    </row>
    <row r="7" spans="1:14" x14ac:dyDescent="0.2">
      <c r="A7" s="165" t="s">
        <v>129</v>
      </c>
      <c r="B7" s="165"/>
      <c r="C7" s="166"/>
      <c r="D7" s="166"/>
      <c r="E7" s="166"/>
      <c r="F7" s="16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5" t="s">
        <v>4887</v>
      </c>
      <c r="C312" s="39">
        <v>1</v>
      </c>
      <c r="D312" s="120" t="s">
        <v>149</v>
      </c>
      <c r="E312" s="13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6" customFormat="1" x14ac:dyDescent="0.2">
      <c r="A1088" s="36" t="s">
        <v>5456</v>
      </c>
      <c r="B1088" s="146" t="s">
        <v>1907</v>
      </c>
      <c r="C1088" s="37">
        <v>3</v>
      </c>
      <c r="D1088" s="146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0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3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4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28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5" t="s">
        <v>4885</v>
      </c>
      <c r="C1458" s="39">
        <v>4</v>
      </c>
      <c r="D1458" s="120" t="s">
        <v>149</v>
      </c>
      <c r="E1458" s="120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3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9" customFormat="1" ht="15" x14ac:dyDescent="0.25">
      <c r="A1647" s="110" t="s">
        <v>4844</v>
      </c>
      <c r="C1647" s="109">
        <v>0</v>
      </c>
      <c r="D1647" s="109" t="s">
        <v>157</v>
      </c>
      <c r="E1647" s="109" t="s">
        <v>152</v>
      </c>
    </row>
    <row r="1648" spans="1:6" s="127" customFormat="1" ht="15" x14ac:dyDescent="0.25">
      <c r="A1648" s="130" t="s">
        <v>4844</v>
      </c>
      <c r="C1648" s="127">
        <v>0</v>
      </c>
      <c r="D1648" s="127" t="s">
        <v>157</v>
      </c>
      <c r="E1648" s="127" t="s">
        <v>152</v>
      </c>
    </row>
    <row r="1649" spans="1:6" s="127" customFormat="1" ht="15" x14ac:dyDescent="0.25">
      <c r="A1649" s="130" t="s">
        <v>4861</v>
      </c>
      <c r="C1649" s="127">
        <v>0</v>
      </c>
      <c r="D1649" s="127" t="s">
        <v>157</v>
      </c>
      <c r="E1649" s="127" t="s">
        <v>152</v>
      </c>
    </row>
    <row r="1650" spans="1:6" s="127" customFormat="1" ht="15" x14ac:dyDescent="0.25">
      <c r="A1650" s="130" t="s">
        <v>4861</v>
      </c>
      <c r="C1650" s="127">
        <v>0</v>
      </c>
      <c r="D1650" s="127" t="s">
        <v>157</v>
      </c>
      <c r="E1650" s="127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38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2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28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5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20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28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5" t="s">
        <v>4882</v>
      </c>
      <c r="C2446" s="39">
        <v>2</v>
      </c>
      <c r="D2446" s="120" t="s">
        <v>157</v>
      </c>
      <c r="E2446" s="136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28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37" customFormat="1" x14ac:dyDescent="0.2">
      <c r="A2531" s="36" t="s">
        <v>3958</v>
      </c>
      <c r="C2531" s="37">
        <v>3</v>
      </c>
      <c r="D2531" s="137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0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5" customFormat="1" ht="15" x14ac:dyDescent="0.25">
      <c r="A2546" s="147" t="s">
        <v>5455</v>
      </c>
      <c r="C2546" s="145">
        <v>4</v>
      </c>
      <c r="D2546" s="145" t="s">
        <v>149</v>
      </c>
      <c r="E2546" s="145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2" customFormat="1" ht="15" x14ac:dyDescent="0.25">
      <c r="A2604" s="113" t="s">
        <v>4848</v>
      </c>
      <c r="B2604" s="112" t="s">
        <v>4849</v>
      </c>
      <c r="C2604" s="112">
        <v>0</v>
      </c>
      <c r="D2604" s="112" t="s">
        <v>149</v>
      </c>
      <c r="E2604" s="112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6" customFormat="1" x14ac:dyDescent="0.2">
      <c r="A2678" s="36" t="s">
        <v>4856</v>
      </c>
      <c r="B2678" s="126" t="s">
        <v>4152</v>
      </c>
      <c r="C2678" s="126">
        <v>1</v>
      </c>
      <c r="D2678" s="126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5" t="s">
        <v>4884</v>
      </c>
      <c r="C2846" s="39">
        <v>1</v>
      </c>
      <c r="D2846" s="120" t="s">
        <v>149</v>
      </c>
      <c r="E2846" s="136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39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1" customFormat="1" x14ac:dyDescent="0.2">
      <c r="A3049" s="36" t="s">
        <v>4845</v>
      </c>
      <c r="B3049" s="111" t="s">
        <v>4846</v>
      </c>
      <c r="C3049" s="37">
        <v>0</v>
      </c>
      <c r="D3049" s="111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28" t="s">
        <v>4858</v>
      </c>
      <c r="C3073" s="39">
        <v>4</v>
      </c>
      <c r="D3073" s="31" t="s">
        <v>149</v>
      </c>
      <c r="E3073" s="39" t="s">
        <v>147</v>
      </c>
    </row>
    <row r="3074" spans="1:7" s="129" customFormat="1" ht="15" x14ac:dyDescent="0.25">
      <c r="A3074" s="131" t="s">
        <v>4867</v>
      </c>
      <c r="C3074" s="39">
        <v>4</v>
      </c>
      <c r="D3074" s="129" t="s">
        <v>149</v>
      </c>
      <c r="E3074" s="39" t="s">
        <v>147</v>
      </c>
    </row>
    <row r="3075" spans="1:7" s="129" customFormat="1" ht="15" x14ac:dyDescent="0.25">
      <c r="A3075" s="131" t="s">
        <v>4868</v>
      </c>
      <c r="C3075" s="39">
        <v>7</v>
      </c>
      <c r="D3075" s="129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4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103" t="s">
        <v>5500</v>
      </c>
      <c r="C2" s="46" t="str">
        <f>CONCATENATE(B2,2024)</f>
        <v>SLCW Releve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48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8">
        <f t="shared" ref="N10:N75" si="2">L10/$L$151</f>
        <v>1.5345268542199489E-2</v>
      </c>
      <c r="O10" s="108">
        <f t="shared" ref="O10:O11" si="3">D10*N10</f>
        <v>3.0690537084398978E-2</v>
      </c>
    </row>
    <row r="11" spans="1:15" ht="13.5" thickBot="1" x14ac:dyDescent="0.25">
      <c r="A11" s="148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8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1.5345268542199489E-2</v>
      </c>
      <c r="O11" s="108">
        <f t="shared" si="3"/>
        <v>3.0690537084398978E-2</v>
      </c>
    </row>
    <row r="12" spans="1:15" ht="13.5" thickBot="1" x14ac:dyDescent="0.25">
      <c r="A12" s="148" t="s">
        <v>4854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8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7.6726342710997444E-2</v>
      </c>
      <c r="O12" s="85">
        <f>D12*N12</f>
        <v>0.23017902813299235</v>
      </c>
    </row>
    <row r="13" spans="1:15" ht="13.5" thickBot="1" x14ac:dyDescent="0.25">
      <c r="A13" s="148"/>
      <c r="B13" s="44"/>
      <c r="C13" s="44"/>
      <c r="D13" s="98"/>
      <c r="E13" s="44"/>
      <c r="F13" s="44"/>
      <c r="G13" s="44"/>
      <c r="H13" s="44"/>
      <c r="J13" s="148"/>
      <c r="K13" s="47"/>
      <c r="L13" s="47"/>
      <c r="M13" s="99"/>
      <c r="O13" s="97"/>
    </row>
    <row r="14" spans="1:15" ht="13.5" thickBot="1" x14ac:dyDescent="0.25">
      <c r="A14" s="148"/>
      <c r="B14" s="44"/>
      <c r="C14" s="44"/>
      <c r="D14" s="98"/>
      <c r="E14" s="44"/>
      <c r="F14" s="44"/>
      <c r="G14" s="44"/>
      <c r="H14" s="44"/>
      <c r="J14" s="148"/>
      <c r="K14" s="47"/>
      <c r="L14" s="47"/>
      <c r="M14" s="99"/>
      <c r="O14" s="97"/>
    </row>
    <row r="15" spans="1:15" ht="13.5" thickBot="1" x14ac:dyDescent="0.25">
      <c r="A15" s="148" t="s">
        <v>2119</v>
      </c>
      <c r="B15" s="44" t="str">
        <f>IF(LEN(VLOOKUP(A15,'Species List'!$A:$G,2,FALSE))=0,"",VLOOKUP(A15,'Species List'!$A:$G,2,FALSE))</f>
        <v>green ash</v>
      </c>
      <c r="C15" s="44">
        <f>IF(LEN(VLOOKUP(A15,'Species List'!$A:$G,3,FALSE))=0,"",VLOOKUP(A15,'Species List'!$A:$G,3,FALSE))</f>
        <v>2</v>
      </c>
      <c r="D15" s="98">
        <f t="shared" ref="D15:D76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4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ref="M15:M76" si="5">VALUE(L15)</f>
        <v>3</v>
      </c>
      <c r="N15" s="85">
        <f t="shared" si="2"/>
        <v>1.5345268542199489E-2</v>
      </c>
      <c r="O15" s="97">
        <f t="shared" ref="O15:O76" si="6">D15*N15</f>
        <v>3.0690537084398978E-2</v>
      </c>
    </row>
    <row r="16" spans="1:15" ht="13.5" thickBot="1" x14ac:dyDescent="0.25">
      <c r="A16" s="148" t="s">
        <v>3609</v>
      </c>
      <c r="B16" s="44" t="str">
        <f>IF(LEN(VLOOKUP(A16,'Species List'!$A:$G,2,FALSE))=0,"",VLOOKUP(A16,'Species List'!$A:$G,2,FALSE))</f>
        <v>black cherry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14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1.5345268542199489E-2</v>
      </c>
      <c r="O16" s="97">
        <f t="shared" si="6"/>
        <v>6.1381074168797956E-2</v>
      </c>
    </row>
    <row r="17" spans="1:15" ht="13.5" thickBot="1" x14ac:dyDescent="0.25">
      <c r="A17" s="148" t="s">
        <v>4757</v>
      </c>
      <c r="B17" s="44" t="str">
        <f>IF(LEN(VLOOKUP(A17,'Species List'!$A:$G,2,FALSE))=0,"",VLOOKUP(A17,'Species List'!$A:$G,2,FALSE))</f>
        <v>prickly ash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1.5345268542199489E-2</v>
      </c>
      <c r="O17" s="97">
        <f t="shared" si="6"/>
        <v>4.6035805626598467E-2</v>
      </c>
    </row>
    <row r="18" spans="1:15" ht="13.5" thickBot="1" x14ac:dyDescent="0.25">
      <c r="A18" s="148" t="s">
        <v>1210</v>
      </c>
      <c r="B18" s="44" t="str">
        <f>IF(LEN(VLOOKUP(A18,'Species List'!$A:$G,2,FALSE))=0,"",VLOOKUP(A18,'Species List'!$A:$G,2,FALSE))</f>
        <v>bitternut hickory</v>
      </c>
      <c r="C18" s="44">
        <f>IF(LEN(VLOOKUP(A18,'Species List'!$A:$G,3,FALSE))=0,"",VLOOKUP(A18,'Species List'!$A:$G,3,FALSE))</f>
        <v>5</v>
      </c>
      <c r="D18" s="98">
        <f t="shared" si="4"/>
        <v>5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48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1.5345268542199489E-2</v>
      </c>
      <c r="O18" s="97">
        <f t="shared" si="6"/>
        <v>7.6726342710997444E-2</v>
      </c>
    </row>
    <row r="19" spans="1:15" ht="13.5" thickBot="1" x14ac:dyDescent="0.25">
      <c r="A19" s="148" t="s">
        <v>159</v>
      </c>
      <c r="B19" s="44" t="str">
        <f>IF(LEN(VLOOKUP(A19,'Species List'!$A:$G,2,FALSE))=0,"",VLOOKUP(A19,'Species List'!$A:$G,2,FALSE))</f>
        <v>amur maple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8" t="s">
        <v>4824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85">
        <f t="shared" si="2"/>
        <v>2.5575447570332483E-3</v>
      </c>
      <c r="O19" s="97">
        <f t="shared" si="6"/>
        <v>0</v>
      </c>
    </row>
    <row r="20" spans="1:15" ht="13.5" thickBot="1" x14ac:dyDescent="0.25">
      <c r="A20" s="148"/>
      <c r="B20" s="44"/>
      <c r="C20" s="44"/>
      <c r="D20" s="98"/>
      <c r="E20" s="44"/>
      <c r="F20" s="44"/>
      <c r="G20" s="44"/>
      <c r="H20" s="44"/>
      <c r="J20" s="148"/>
      <c r="K20" s="47"/>
      <c r="L20" s="47"/>
      <c r="M20" s="99"/>
      <c r="O20" s="97"/>
    </row>
    <row r="21" spans="1:15" ht="13.5" thickBot="1" x14ac:dyDescent="0.25">
      <c r="A21" s="148"/>
      <c r="B21" s="44"/>
      <c r="C21" s="44"/>
      <c r="D21" s="98"/>
      <c r="E21" s="44"/>
      <c r="F21" s="44"/>
      <c r="G21" s="44"/>
      <c r="H21" s="44"/>
      <c r="J21" s="148"/>
      <c r="K21" s="47"/>
      <c r="L21" s="47"/>
      <c r="M21" s="99"/>
      <c r="O21" s="97"/>
    </row>
    <row r="22" spans="1:15" ht="13.5" thickBot="1" x14ac:dyDescent="0.25">
      <c r="A22" s="148" t="s">
        <v>3710</v>
      </c>
      <c r="B22" s="44" t="str">
        <f>IF(LEN(VLOOKUP(A22,'Species List'!$A:$G,2,FALSE))=0,"",VLOOKUP(A22,'Species List'!$A:$G,2,FALSE))</f>
        <v>common buckthorn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1.5345268542199489E-2</v>
      </c>
      <c r="O22" s="97">
        <f t="shared" si="6"/>
        <v>0</v>
      </c>
    </row>
    <row r="23" spans="1:15" ht="13.5" thickBot="1" x14ac:dyDescent="0.25">
      <c r="A23" s="148" t="s">
        <v>4855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48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1.5345268542199489E-2</v>
      </c>
      <c r="O23" s="97">
        <f t="shared" si="6"/>
        <v>4.6035805626598467E-2</v>
      </c>
    </row>
    <row r="24" spans="1:15" ht="13.5" thickBot="1" x14ac:dyDescent="0.25">
      <c r="A24" s="148"/>
      <c r="B24" s="44"/>
      <c r="C24" s="44"/>
      <c r="D24" s="98"/>
      <c r="E24" s="44"/>
      <c r="F24" s="44"/>
      <c r="G24" s="44"/>
      <c r="H24" s="44"/>
      <c r="J24" s="148"/>
      <c r="K24" s="47"/>
      <c r="L24" s="47"/>
      <c r="M24" s="99"/>
      <c r="O24" s="97"/>
    </row>
    <row r="25" spans="1:15" ht="13.5" thickBot="1" x14ac:dyDescent="0.25">
      <c r="A25" s="148"/>
      <c r="B25" s="44"/>
      <c r="C25" s="44"/>
      <c r="D25" s="98"/>
      <c r="E25" s="44"/>
      <c r="F25" s="44"/>
      <c r="G25" s="44"/>
      <c r="H25" s="44"/>
      <c r="J25" s="148"/>
      <c r="K25" s="47"/>
      <c r="L25" s="47"/>
      <c r="M25" s="99"/>
      <c r="O25" s="97"/>
    </row>
    <row r="26" spans="1:15" ht="13.5" thickBot="1" x14ac:dyDescent="0.25">
      <c r="A26" s="148" t="s">
        <v>1235</v>
      </c>
      <c r="B26" s="44" t="str">
        <f>IF(LEN(VLOOKUP(A26,'Species List'!$A:$G,2,FALSE))=0,"",VLOOKUP(A26,'Species List'!$A:$G,2,FALSE))</f>
        <v>hackberry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148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1.5345268542199489E-2</v>
      </c>
      <c r="O26" s="97">
        <f t="shared" si="6"/>
        <v>4.6035805626598467E-2</v>
      </c>
    </row>
    <row r="27" spans="1:15" ht="13.5" thickBot="1" x14ac:dyDescent="0.25">
      <c r="A27" s="148" t="s">
        <v>3611</v>
      </c>
      <c r="B27" s="44" t="str">
        <f>IF(LEN(VLOOKUP(A27,'Species List'!$A:$G,2,FALSE))=0,"",VLOOKUP(A27,'Species List'!$A:$G,2,FALSE))</f>
        <v>chokecherry</v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148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85">
        <f t="shared" si="2"/>
        <v>2.5575447570332483E-3</v>
      </c>
      <c r="O27" s="97">
        <f t="shared" si="6"/>
        <v>7.6726342710997444E-3</v>
      </c>
    </row>
    <row r="28" spans="1:15" ht="13.5" thickBot="1" x14ac:dyDescent="0.25">
      <c r="A28" s="148"/>
      <c r="B28" s="44"/>
      <c r="C28" s="44"/>
      <c r="D28" s="98"/>
      <c r="E28" s="44"/>
      <c r="F28" s="44"/>
      <c r="G28" s="44"/>
      <c r="H28" s="44"/>
      <c r="J28" s="148"/>
      <c r="K28" s="47"/>
      <c r="L28" s="47"/>
      <c r="M28" s="99"/>
      <c r="O28" s="97"/>
    </row>
    <row r="29" spans="1:15" ht="13.5" thickBot="1" x14ac:dyDescent="0.25">
      <c r="A29" s="148"/>
      <c r="B29" s="44"/>
      <c r="C29" s="44"/>
      <c r="D29" s="98"/>
      <c r="E29" s="44"/>
      <c r="F29" s="44"/>
      <c r="G29" s="44"/>
      <c r="H29" s="44"/>
      <c r="J29" s="148"/>
      <c r="K29" s="47"/>
      <c r="L29" s="47"/>
      <c r="M29" s="99"/>
      <c r="O29" s="97"/>
    </row>
    <row r="30" spans="1:15" ht="13.5" thickBot="1" x14ac:dyDescent="0.25">
      <c r="A30" s="148" t="s">
        <v>4541</v>
      </c>
      <c r="B30" s="44" t="str">
        <f>IF(LEN(VLOOKUP(A30,'Species List'!$A:$G,2,FALSE))=0,"",VLOOKUP(A30,'Species List'!$A:$G,2,FALSE))</f>
        <v>American elm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48">
        <v>3</v>
      </c>
      <c r="K30" s="47" t="str">
        <f>VLOOKUP(J30,'Species List'!$H$1:$J$9,2,FALSE)</f>
        <v>&gt;25-50%</v>
      </c>
      <c r="L30" s="47">
        <f>VLOOKUP(K30,'Species List'!$I$1:$N$8,2,FALSE)</f>
        <v>37.5</v>
      </c>
      <c r="M30" s="99">
        <f t="shared" si="5"/>
        <v>37.5</v>
      </c>
      <c r="N30" s="85">
        <f t="shared" si="2"/>
        <v>0.1918158567774936</v>
      </c>
      <c r="O30" s="97">
        <f t="shared" si="6"/>
        <v>0.57544757033248084</v>
      </c>
    </row>
    <row r="31" spans="1:15" ht="13.5" thickBot="1" x14ac:dyDescent="0.25">
      <c r="A31" s="148" t="s">
        <v>177</v>
      </c>
      <c r="B31" s="44" t="str">
        <f>IF(LEN(VLOOKUP(A31,'Species List'!$A:$G,2,FALSE))=0,"",VLOOKUP(A31,'Species List'!$A:$G,2,FALSE))</f>
        <v>sugar maple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[FACU]</v>
      </c>
      <c r="H31" s="44">
        <f>VLOOKUP(A31,'Species List'!$A:$G,7,FALSE)</f>
        <v>0</v>
      </c>
      <c r="J31" s="148">
        <v>3</v>
      </c>
      <c r="K31" s="47" t="str">
        <f>VLOOKUP(J31,'Species List'!$H$1:$J$9,2,FALSE)</f>
        <v>&gt;25-50%</v>
      </c>
      <c r="L31" s="47">
        <f>VLOOKUP(K31,'Species List'!$I$1:$N$8,2,FALSE)</f>
        <v>37.5</v>
      </c>
      <c r="M31" s="99">
        <f t="shared" si="5"/>
        <v>37.5</v>
      </c>
      <c r="N31" s="85">
        <f t="shared" si="2"/>
        <v>0.1918158567774936</v>
      </c>
      <c r="O31" s="97">
        <f t="shared" si="6"/>
        <v>0.95907928388746799</v>
      </c>
    </row>
    <row r="32" spans="1:15" ht="13.5" thickBot="1" x14ac:dyDescent="0.25">
      <c r="A32" s="148" t="s">
        <v>1235</v>
      </c>
      <c r="B32" s="44" t="str">
        <f>IF(LEN(VLOOKUP(A32,'Species List'!$A:$G,2,FALSE))=0,"",VLOOKUP(A32,'Species List'!$A:$G,2,FALSE))</f>
        <v>hackberry</v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[FAC-]</v>
      </c>
      <c r="H32" s="44">
        <f>VLOOKUP(A32,'Species List'!$A:$G,7,FALSE)</f>
        <v>0</v>
      </c>
      <c r="J32" s="148">
        <v>2</v>
      </c>
      <c r="K32" s="47" t="str">
        <f>VLOOKUP(J32,'Species List'!$H$1:$J$9,2,FALSE)</f>
        <v>&gt;5-25%</v>
      </c>
      <c r="L32" s="47">
        <f>VLOOKUP(K32,'Species List'!$I$1:$N$8,2,FALSE)</f>
        <v>15</v>
      </c>
      <c r="M32" s="99">
        <f t="shared" si="5"/>
        <v>15</v>
      </c>
      <c r="N32" s="85">
        <f t="shared" si="2"/>
        <v>7.6726342710997444E-2</v>
      </c>
      <c r="O32" s="97">
        <f t="shared" si="6"/>
        <v>0.23017902813299235</v>
      </c>
    </row>
    <row r="33" spans="1:15" ht="13.5" thickBot="1" x14ac:dyDescent="0.25">
      <c r="A33" s="148" t="s">
        <v>3651</v>
      </c>
      <c r="B33" s="44" t="str">
        <f>IF(LEN(VLOOKUP(A33,'Species List'!$A:$G,2,FALSE))=0,"",VLOOKUP(A33,'Species List'!$A:$G,2,FALSE))</f>
        <v>northern red oak</v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48">
        <v>4</v>
      </c>
      <c r="K33" s="47" t="str">
        <f>VLOOKUP(J33,'Species List'!$H$1:$J$9,2,FALSE)</f>
        <v>&gt;50-75%</v>
      </c>
      <c r="L33" s="47">
        <f>VLOOKUP(K33,'Species List'!$I$1:$N$8,2,FALSE)</f>
        <v>62.5</v>
      </c>
      <c r="M33" s="99">
        <f t="shared" si="5"/>
        <v>62.5</v>
      </c>
      <c r="N33" s="85">
        <f t="shared" si="2"/>
        <v>0.31969309462915602</v>
      </c>
      <c r="O33" s="97">
        <f t="shared" si="6"/>
        <v>1.5984654731457801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195.5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7A1D9507-E9BA-463A-B2B8-1EE3359639A0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26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2554</v>
      </c>
      <c r="B10" s="44" t="str">
        <f>IF(LEN(VLOOKUP(A10,'Species List'!$A:$G,2,FALSE))=0,"",VLOOKUP(A10,'Species List'!$A:$G,2,FALSE))</f>
        <v>woodnettle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8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8">
        <f t="shared" ref="N10:N41" si="2">L10/$L$150</f>
        <v>0.20689655172413793</v>
      </c>
      <c r="O10" s="108">
        <f t="shared" ref="O10:O11" si="3">D10*N10</f>
        <v>0.62068965517241381</v>
      </c>
    </row>
    <row r="11" spans="1:15" ht="13.5" thickBot="1" x14ac:dyDescent="0.25">
      <c r="A11" s="148" t="s">
        <v>468</v>
      </c>
      <c r="B11" s="44" t="str">
        <f>IF(LEN(VLOOKUP(A11,'Species List'!$A:$G,2,FALSE))=0,"",VLOOKUP(A11,'Species List'!$A:$G,2,FALSE))</f>
        <v>Jack-in-the-pulpit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8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8">
        <f t="shared" si="2"/>
        <v>0.20689655172413793</v>
      </c>
      <c r="O11" s="108">
        <f t="shared" si="3"/>
        <v>0.82758620689655171</v>
      </c>
    </row>
    <row r="12" spans="1:15" ht="13.5" thickBot="1" x14ac:dyDescent="0.25">
      <c r="A12" s="148" t="s">
        <v>1349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48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4.1379310344827586E-2</v>
      </c>
      <c r="O12" s="85">
        <f>D12*N12</f>
        <v>8.2758620689655171E-2</v>
      </c>
    </row>
    <row r="13" spans="1:15" ht="13.5" thickBot="1" x14ac:dyDescent="0.25">
      <c r="A13" s="148" t="s">
        <v>3953</v>
      </c>
      <c r="B13" s="44" t="str">
        <f>IF(LEN(VLOOKUP(A13,'Species List'!$A:$G,2,FALSE))=0,"",VLOOKUP(A13,'Species List'!$A:$G,2,FALSE))</f>
        <v>bloodroot</v>
      </c>
      <c r="C13" s="44">
        <f>IF(LEN(VLOOKUP(A13,'Species List'!$A:$G,3,FALSE))=0,"",VLOOKUP(A13,'Species List'!$A:$G,3,FALSE))</f>
        <v>6</v>
      </c>
      <c r="D13" s="98">
        <f t="shared" ref="D13:D75" si="4">VALUE(C13)</f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FACU-*</v>
      </c>
      <c r="H13" s="44">
        <f>VLOOKUP(A13,'Species List'!$A:$G,7,FALSE)</f>
        <v>0</v>
      </c>
      <c r="J13" s="14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4.1379310344827586E-2</v>
      </c>
      <c r="O13" s="97">
        <f t="shared" ref="O13:O75" si="6">D13*N13</f>
        <v>0.24827586206896551</v>
      </c>
    </row>
    <row r="14" spans="1:15" ht="13.5" thickBot="1" x14ac:dyDescent="0.25">
      <c r="A14" s="148" t="s">
        <v>4568</v>
      </c>
      <c r="B14" s="44" t="str">
        <f>IF(LEN(VLOOKUP(A14,'Species List'!$A:$G,2,FALSE))=0,"",VLOOKUP(A14,'Species List'!$A:$G,2,FALSE))</f>
        <v>large-flowered bellwort</v>
      </c>
      <c r="C14" s="44">
        <f>IF(LEN(VLOOKUP(A14,'Species List'!$A:$G,3,FALSE))=0,"",VLOOKUP(A14,'Species List'!$A:$G,3,FALSE))</f>
        <v>7</v>
      </c>
      <c r="D14" s="98">
        <f t="shared" si="4"/>
        <v>7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4.1379310344827586E-2</v>
      </c>
      <c r="O14" s="97">
        <f t="shared" si="6"/>
        <v>0.28965517241379313</v>
      </c>
    </row>
    <row r="15" spans="1:15" ht="13.5" thickBot="1" x14ac:dyDescent="0.25">
      <c r="A15" s="148" t="s">
        <v>2417</v>
      </c>
      <c r="B15" s="44" t="str">
        <f>IF(LEN(VLOOKUP(A15,'Species List'!$A:$G,2,FALSE))=0,"",VLOOKUP(A15,'Species List'!$A:$G,2,FALSE))</f>
        <v>Virginia waterleaf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4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4.1379310344827586E-2</v>
      </c>
      <c r="O15" s="97">
        <f t="shared" si="6"/>
        <v>0.12413793103448276</v>
      </c>
    </row>
    <row r="16" spans="1:15" ht="13.5" thickBot="1" x14ac:dyDescent="0.25">
      <c r="A16" s="148" t="s">
        <v>4166</v>
      </c>
      <c r="B16" s="44" t="str">
        <f>IF(LEN(VLOOKUP(A16,'Species List'!$A:$G,2,FALSE))=0,"",VLOOKUP(A16,'Species List'!$A:$G,2,FALSE))</f>
        <v>zigzag goldenrod</v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4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4.1379310344827586E-2</v>
      </c>
      <c r="O16" s="97">
        <f t="shared" si="6"/>
        <v>0.20689655172413793</v>
      </c>
    </row>
    <row r="17" spans="1:15" ht="13.5" thickBot="1" x14ac:dyDescent="0.25">
      <c r="A17" s="148" t="s">
        <v>592</v>
      </c>
      <c r="B17" s="44" t="str">
        <f>IF(LEN(VLOOKUP(A17,'Species List'!$A:$G,2,FALSE))=0,"",VLOOKUP(A17,'Species List'!$A:$G,2,FALSE))</f>
        <v>lady fern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4.1379310344827586E-2</v>
      </c>
      <c r="O17" s="97">
        <f t="shared" si="6"/>
        <v>0.20689655172413793</v>
      </c>
    </row>
    <row r="18" spans="1:15" ht="13.5" thickBot="1" x14ac:dyDescent="0.25">
      <c r="A18" s="148" t="s">
        <v>201</v>
      </c>
      <c r="B18" s="44" t="str">
        <f>IF(LEN(VLOOKUP(A18,'Species List'!$A:$G,2,FALSE))=0,"",VLOOKUP(A18,'Species List'!$A:$G,2,FALSE))</f>
        <v>maidenhair fern</v>
      </c>
      <c r="C18" s="44">
        <f>IF(LEN(VLOOKUP(A18,'Species List'!$A:$G,3,FALSE))=0,"",VLOOKUP(A18,'Species List'!$A:$G,3,FALSE))</f>
        <v>7</v>
      </c>
      <c r="D18" s="98">
        <f t="shared" si="4"/>
        <v>7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48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4.1379310344827586E-2</v>
      </c>
      <c r="O18" s="97">
        <f t="shared" si="6"/>
        <v>0.28965517241379313</v>
      </c>
    </row>
    <row r="19" spans="1:15" ht="13.5" thickBot="1" x14ac:dyDescent="0.25">
      <c r="A19" s="148" t="s">
        <v>4146</v>
      </c>
      <c r="B19" s="44" t="str">
        <f>IF(LEN(VLOOKUP(A19,'Species List'!$A:$G,2,FALSE))=0,"",VLOOKUP(A19,'Species List'!$A:$G,2,FALSE))</f>
        <v>greenbrier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C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[FAC]</v>
      </c>
      <c r="H19" s="44">
        <f>VLOOKUP(A19,'Species List'!$A:$G,7,FALSE)</f>
        <v>0</v>
      </c>
      <c r="J19" s="14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4.1379310344827586E-2</v>
      </c>
      <c r="O19" s="97">
        <f t="shared" si="6"/>
        <v>0.16551724137931034</v>
      </c>
    </row>
    <row r="20" spans="1:15" ht="13.5" thickBot="1" x14ac:dyDescent="0.25">
      <c r="A20" s="148" t="s">
        <v>4373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48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4.1379310344827586E-2</v>
      </c>
      <c r="O20" s="97">
        <f t="shared" si="6"/>
        <v>0.24827586206896551</v>
      </c>
    </row>
    <row r="21" spans="1:15" ht="13.5" thickBot="1" x14ac:dyDescent="0.25">
      <c r="A21" s="148" t="s">
        <v>4858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8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4.1379310344827586E-2</v>
      </c>
      <c r="O21" s="97">
        <f t="shared" si="6"/>
        <v>0.16551724137931034</v>
      </c>
    </row>
    <row r="22" spans="1:15" ht="13.5" thickBot="1" x14ac:dyDescent="0.25">
      <c r="A22" s="148" t="s">
        <v>1223</v>
      </c>
      <c r="B22" s="44" t="str">
        <f>IF(LEN(VLOOKUP(A22,'Species List'!$A:$G,2,FALSE))=0,"",VLOOKUP(A22,'Species List'!$A:$G,2,FALSE))</f>
        <v>blue cohosh</v>
      </c>
      <c r="C22" s="44">
        <f>IF(LEN(VLOOKUP(A22,'Species List'!$A:$G,3,FALSE))=0,"",VLOOKUP(A22,'Species List'!$A:$G,3,FALSE))</f>
        <v>8</v>
      </c>
      <c r="D22" s="98">
        <f t="shared" si="4"/>
        <v>8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4.1379310344827586E-2</v>
      </c>
      <c r="O22" s="97">
        <f t="shared" si="6"/>
        <v>0.33103448275862069</v>
      </c>
    </row>
    <row r="23" spans="1:15" ht="13.5" thickBot="1" x14ac:dyDescent="0.25">
      <c r="A23" s="148" t="s">
        <v>4857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48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4.1379310344827586E-2</v>
      </c>
      <c r="O23" s="97">
        <f t="shared" si="6"/>
        <v>8.2758620689655171E-2</v>
      </c>
    </row>
    <row r="24" spans="1:15" ht="13.5" thickBot="1" x14ac:dyDescent="0.25">
      <c r="A24" s="148" t="s">
        <v>2811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48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4.1379310344827586E-2</v>
      </c>
      <c r="O24" s="97">
        <f t="shared" si="6"/>
        <v>0.20689655172413793</v>
      </c>
    </row>
    <row r="25" spans="1:15" ht="13.5" thickBot="1" x14ac:dyDescent="0.25">
      <c r="A25" s="148" t="s">
        <v>3662</v>
      </c>
      <c r="B25" s="44" t="str">
        <f>IF(LEN(VLOOKUP(A25,'Species List'!$A:$G,2,FALSE))=0,"",VLOOKUP(A25,'Species List'!$A:$G,2,FALSE))</f>
        <v>kidney-leaved buttercup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48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4.1379310344827586E-2</v>
      </c>
      <c r="O25" s="97">
        <f t="shared" si="6"/>
        <v>4.1379310344827586E-2</v>
      </c>
    </row>
    <row r="26" spans="1:15" ht="13.5" thickBot="1" x14ac:dyDescent="0.25">
      <c r="A26" s="148" t="s">
        <v>3091</v>
      </c>
      <c r="B26" s="44" t="str">
        <f>IF(LEN(VLOOKUP(A26,'Species List'!$A:$G,2,FALSE))=0,"",VLOOKUP(A26,'Species List'!$A:$G,2,FALSE))</f>
        <v>Clayton's sweet cicely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FACU-</v>
      </c>
      <c r="H26" s="44">
        <f>VLOOKUP(A26,'Species List'!$A:$G,7,FALSE)</f>
        <v>0</v>
      </c>
      <c r="J26" s="148" t="s">
        <v>4824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99">
        <f t="shared" si="5"/>
        <v>0.5</v>
      </c>
      <c r="N26" s="97">
        <f t="shared" si="2"/>
        <v>6.8965517241379309E-3</v>
      </c>
      <c r="O26" s="97">
        <f t="shared" si="6"/>
        <v>2.0689655172413793E-2</v>
      </c>
    </row>
    <row r="27" spans="1:15" x14ac:dyDescent="0.2">
      <c r="A27" s="117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2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2"/>
        <v>#N/A</v>
      </c>
      <c r="O27" s="97" t="e">
        <f t="shared" si="6"/>
        <v>#N/A</v>
      </c>
    </row>
    <row r="28" spans="1:15" x14ac:dyDescent="0.2">
      <c r="A28" s="117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2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2"/>
        <v>#N/A</v>
      </c>
      <c r="O28" s="97" t="e">
        <f t="shared" si="6"/>
        <v>#N/A</v>
      </c>
    </row>
    <row r="29" spans="1:15" x14ac:dyDescent="0.2">
      <c r="A29" s="117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2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7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2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7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2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7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4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7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4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7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4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4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4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3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4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3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4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3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4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3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4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3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4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1" t="s">
        <v>4791</v>
      </c>
      <c r="J150" s="172"/>
      <c r="K150" s="173"/>
      <c r="L150" s="63">
        <f>SUMIF(L10:L149,"&gt;=0")</f>
        <v>72.5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H14" sqref="H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0"/>
      <c r="C7" s="170"/>
      <c r="D7" s="170"/>
      <c r="E7" s="17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4866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15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8">
        <f t="shared" ref="N10:N75" si="2">L10/$L$151</f>
        <v>1</v>
      </c>
      <c r="O10" s="108">
        <f t="shared" ref="O10:O76" si="3">D10*N10</f>
        <v>3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9474-2D82-4F21-8C3A-34E96D9A1722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4" t="s">
        <v>4779</v>
      </c>
      <c r="B1" s="174"/>
      <c r="C1" s="174"/>
      <c r="D1" s="174"/>
      <c r="E1" s="174"/>
      <c r="F1" s="174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14</v>
      </c>
      <c r="C4" s="101">
        <f>COUNTIF(Forbs!$F$10:$F$147,"Native")</f>
        <v>17</v>
      </c>
      <c r="D4" s="101">
        <f>COUNTIF(Grasses!$F$10:$F$149,"Native")</f>
        <v>1</v>
      </c>
      <c r="E4" s="101">
        <f>AVERAGE(B4:D4)</f>
        <v>10.666666666666666</v>
      </c>
      <c r="F4" s="101">
        <f>SUM(B4:D4)</f>
        <v>32</v>
      </c>
    </row>
    <row r="5" spans="1:6" ht="18" x14ac:dyDescent="0.25">
      <c r="A5" s="53" t="s">
        <v>4784</v>
      </c>
      <c r="B5" s="101">
        <f>COUNTIF(Woody!$F10:$F199,"Introduced")</f>
        <v>2</v>
      </c>
      <c r="C5" s="101">
        <f>COUNTIF(Forbs!$F10:$F198,"Introduced")</f>
        <v>0</v>
      </c>
      <c r="D5" s="101">
        <f>COUNTIF(Grasses!$F10:$F199,"Introduced")</f>
        <v>0</v>
      </c>
      <c r="E5" s="101">
        <f t="shared" ref="E5:E6" si="0">AVERAGE(B5:D5)</f>
        <v>0.66666666666666663</v>
      </c>
      <c r="F5" s="101">
        <f>SUM(B5:D5)</f>
        <v>2</v>
      </c>
    </row>
    <row r="6" spans="1:6" s="81" customFormat="1" ht="21" x14ac:dyDescent="0.35">
      <c r="A6" s="53" t="s">
        <v>4826</v>
      </c>
      <c r="B6" s="101">
        <f>SUM(B4:B5)</f>
        <v>16</v>
      </c>
      <c r="C6" s="101">
        <f>SUM(C4:C5)</f>
        <v>17</v>
      </c>
      <c r="D6" s="101">
        <f>SUM(D4:D5)</f>
        <v>1</v>
      </c>
      <c r="E6" s="101">
        <f t="shared" si="0"/>
        <v>11.333333333333334</v>
      </c>
      <c r="F6" s="101">
        <f>SUM(B6:D6)</f>
        <v>34</v>
      </c>
    </row>
    <row r="7" spans="1:6" ht="18" x14ac:dyDescent="0.25">
      <c r="A7" s="53" t="s">
        <v>4785</v>
      </c>
      <c r="B7" s="101">
        <f>AVERAGEIF(Woody!D10:D150,"&gt;0")</f>
        <v>3.2857142857142856</v>
      </c>
      <c r="C7" s="101">
        <f>AVERAGEIF(Forbs!D10:D149,"&gt;0")</f>
        <v>4.4117647058823533</v>
      </c>
      <c r="D7" s="101">
        <f>AVERAGEIF(Grasses!D10:D150,"&gt;0")</f>
        <v>3</v>
      </c>
      <c r="E7" s="101">
        <f>AVERAGE(B7:D7)</f>
        <v>3.5658263305322131</v>
      </c>
      <c r="F7" s="101">
        <f>(SUMIF(Woody!D10:D150,"&gt;0")+SUMIF(Forbs!D10:D149,"&gt;0")+SUMIF(Grasses!D10:D150,"&gt;0"))/(COUNTIF(Woody!D10:D150,"&gt;0")+COUNTIF(Forbs!D10:D149,"&gt;0")+COUNTIF(Grasses!D10:D150,"&gt;0"))</f>
        <v>3.875</v>
      </c>
    </row>
    <row r="8" spans="1:6" s="31" customFormat="1" ht="21" x14ac:dyDescent="0.35">
      <c r="A8" s="53" t="s">
        <v>4827</v>
      </c>
      <c r="B8" s="101">
        <f>AVERAGEIF(Woody!D10:D150,"&gt;=0")</f>
        <v>2.875</v>
      </c>
      <c r="C8" s="101">
        <f>AVERAGEIF(Forbs!D10:D149,"&gt;=0")</f>
        <v>4.4117647058823533</v>
      </c>
      <c r="D8" s="101">
        <f>AVERAGEIF(Grasses!D10:D150,"&gt;=0")</f>
        <v>3</v>
      </c>
      <c r="E8" s="101">
        <f>AVERAGE(B8:D8)</f>
        <v>3.4289215686274512</v>
      </c>
      <c r="F8" s="101">
        <f>(SUMIF(Woody!D10:D150,"&gt;=0")+SUMIF(Forbs!D10:D149,"&gt;=0")+SUMIF(Grasses!D10:D150,"&gt;=0"))/(COUNTIF(Woody!D10:D150,"&gt;=0")+COUNTIF(Forbs!D10:D149,"&gt;=0")+COUNTIF(Grasses!D10:D150,"&gt;=0"))</f>
        <v>3.6470588235294117</v>
      </c>
    </row>
    <row r="9" spans="1:6" ht="18" x14ac:dyDescent="0.25">
      <c r="A9" s="53" t="s">
        <v>4778</v>
      </c>
      <c r="B9" s="101">
        <f>SQRT(B4)*B7</f>
        <v>12.294017127971522</v>
      </c>
      <c r="C9" s="101">
        <f>SQRT(C4)*C7</f>
        <v>18.190171877724975</v>
      </c>
      <c r="D9" s="101">
        <f>SQRT(D4)*D7</f>
        <v>3</v>
      </c>
      <c r="E9" s="101">
        <f>SQRT(E4)*E7</f>
        <v>11.645940028246446</v>
      </c>
      <c r="F9" s="101">
        <f>SQRT(F4)*F7</f>
        <v>21.920310216782976</v>
      </c>
    </row>
    <row r="10" spans="1:6" s="82" customFormat="1" ht="21" x14ac:dyDescent="0.35">
      <c r="A10" s="53" t="s">
        <v>4828</v>
      </c>
      <c r="B10" s="101">
        <f>SQRT(B6)*B8</f>
        <v>11.5</v>
      </c>
      <c r="C10" s="101">
        <f>SQRT(C6)*C8</f>
        <v>18.190171877724975</v>
      </c>
      <c r="D10" s="101">
        <f>SQRT(D6)*D8</f>
        <v>3</v>
      </c>
      <c r="E10" s="101">
        <f>SQRT(E6)*E8</f>
        <v>11.543470105203063</v>
      </c>
      <c r="F10" s="101">
        <f>SQRT(F6)*F8</f>
        <v>21.265824557671095</v>
      </c>
    </row>
    <row r="11" spans="1:6" ht="18" x14ac:dyDescent="0.25">
      <c r="A11" s="53" t="s">
        <v>4786</v>
      </c>
      <c r="B11" s="101">
        <f>SUMIF(Woody!$M$10:$M$150,"&gt;=0")</f>
        <v>195.5</v>
      </c>
      <c r="C11" s="101">
        <f>SUMIF(Forbs!$M$10:$M$150,"&gt;=0")</f>
        <v>72.5</v>
      </c>
      <c r="D11" s="101">
        <f>SUMIF(Grasses!$M$10:$M$150,"&gt;=0")</f>
        <v>3</v>
      </c>
      <c r="E11" s="101">
        <f>AVERAGE(B11:D11)</f>
        <v>90.333333333333329</v>
      </c>
      <c r="F11" s="101">
        <f>SUM(B11:D11)</f>
        <v>271</v>
      </c>
    </row>
    <row r="12" spans="1:6" ht="18" x14ac:dyDescent="0.25">
      <c r="A12" s="53" t="s">
        <v>4792</v>
      </c>
      <c r="B12" s="101">
        <f>SUMIF(Woody!$F$10:$F$150,"Introduced",Woody!$L$10:$L$150)</f>
        <v>3.5</v>
      </c>
      <c r="C12" s="101">
        <f>SUMIF(Forbs!$F$10:$F$150,"Introduced",Forbs!$L$10:$L$150)</f>
        <v>0</v>
      </c>
      <c r="D12" s="101">
        <f>SUMIF(Grasses!$F$10:$F$150,"Introduced",Grasses!$L$10:$L$150)</f>
        <v>0</v>
      </c>
      <c r="E12" s="101">
        <f>AVERAGE(B12:D12)</f>
        <v>1.1666666666666667</v>
      </c>
      <c r="F12" s="101">
        <f>SUM(B12:D12)</f>
        <v>3.5</v>
      </c>
    </row>
    <row r="13" spans="1:6" ht="18.75" thickBot="1" x14ac:dyDescent="0.3">
      <c r="A13" s="54" t="s">
        <v>4787</v>
      </c>
      <c r="B13" s="102">
        <f>B12/B11</f>
        <v>1.7902813299232736E-2</v>
      </c>
      <c r="C13" s="102">
        <f>C12/C11</f>
        <v>0</v>
      </c>
      <c r="D13" s="102">
        <f>D12/D11</f>
        <v>0</v>
      </c>
      <c r="E13" s="102">
        <f>E12/E11</f>
        <v>1.2915129151291515E-2</v>
      </c>
      <c r="F13" s="102">
        <f>F12/F11</f>
        <v>1.2915129151291513E-2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3.9693094629156018</v>
      </c>
      <c r="C15" s="100">
        <f>SUMIF(Forbs!$O$10:$O$149,"&gt;=0")</f>
        <v>4.1586206896551721</v>
      </c>
      <c r="D15" s="100">
        <f>SUMIF(Grasses!$O$10:$O$150,"&gt;=0")</f>
        <v>3</v>
      </c>
      <c r="E15" s="100">
        <f>AVERAGE(B15:D15)</f>
        <v>3.7093100508569243</v>
      </c>
      <c r="F15" s="101">
        <f>SUM(B15:D15)</f>
        <v>11.127930152570773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2025-11-25T03:23:06Z</dcterms:modified>
</cp:coreProperties>
</file>