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76A1137B-2A25-4C56-8040-3AD202957354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12" i="7" l="1"/>
  <c r="F12" i="7" s="1"/>
  <c r="D6" i="7"/>
  <c r="D9" i="7"/>
  <c r="E4" i="7"/>
  <c r="E9" i="7" s="1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4" i="7"/>
  <c r="F5" i="7"/>
  <c r="L151" i="6"/>
  <c r="E12" i="7" l="1"/>
  <c r="N11" i="6"/>
  <c r="O11" i="6" s="1"/>
  <c r="N10" i="6"/>
  <c r="O10" i="6" s="1"/>
  <c r="N17" i="6"/>
  <c r="O17" i="6" s="1"/>
  <c r="N12" i="6"/>
  <c r="O12" i="6" s="1"/>
  <c r="D11" i="7"/>
  <c r="E11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E13" i="7" l="1"/>
  <c r="D13" i="7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<sst xmlns="http://schemas.openxmlformats.org/spreadsheetml/2006/main" count="13306" uniqueCount="5524">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</sst>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6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54" fillId="0" borderId="33" xfId="0" applyFont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9" t="s">
        <v>57</v>
      </c>
      <c r="B2" s="159"/>
      <c r="C2" s="159"/>
      <c r="D2" s="159"/>
      <c r="E2" s="159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1" t="s">
        <v>4805</v>
      </c>
      <c r="B22" s="161"/>
      <c r="C22" s="161"/>
      <c r="D22" s="161"/>
      <c r="E22" s="16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60" t="s">
        <v>4806</v>
      </c>
      <c r="B24" s="160"/>
      <c r="C24" s="160"/>
      <c r="D24" s="160"/>
      <c r="E24" s="16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60" t="s">
        <v>61</v>
      </c>
      <c r="B39" s="160"/>
      <c r="C39" s="160"/>
      <c r="D39" s="160"/>
      <c r="E39" s="160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60" t="s">
        <v>62</v>
      </c>
      <c r="B45" s="160"/>
      <c r="C45" s="160"/>
      <c r="D45" s="160"/>
      <c r="E45" s="16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0" t="s">
        <v>43</v>
      </c>
      <c r="B93" s="151"/>
      <c r="C93" s="152"/>
      <c r="D93" s="153" t="s">
        <v>44</v>
      </c>
      <c r="E93" s="154"/>
    </row>
    <row r="94" spans="1:5" x14ac:dyDescent="0.2">
      <c r="A94" s="73" t="s">
        <v>23</v>
      </c>
      <c r="B94" s="155" t="s">
        <v>30</v>
      </c>
      <c r="C94" s="156"/>
      <c r="D94" s="3" t="s">
        <v>46</v>
      </c>
      <c r="E94" s="9">
        <v>8</v>
      </c>
    </row>
    <row r="95" spans="1:5" x14ac:dyDescent="0.2">
      <c r="A95" s="73" t="s">
        <v>24</v>
      </c>
      <c r="B95" s="157" t="s">
        <v>31</v>
      </c>
      <c r="C95" s="158"/>
      <c r="D95" s="3" t="s">
        <v>47</v>
      </c>
      <c r="E95" s="9">
        <v>7</v>
      </c>
    </row>
    <row r="96" spans="1:5" x14ac:dyDescent="0.2">
      <c r="A96" s="73" t="s">
        <v>3</v>
      </c>
      <c r="B96" s="157" t="s">
        <v>32</v>
      </c>
      <c r="C96" s="158"/>
      <c r="D96" s="3" t="s">
        <v>48</v>
      </c>
      <c r="E96" s="9">
        <v>6</v>
      </c>
    </row>
    <row r="97" spans="1:5" x14ac:dyDescent="0.2">
      <c r="A97" s="73" t="s">
        <v>25</v>
      </c>
      <c r="B97" s="157" t="s">
        <v>33</v>
      </c>
      <c r="C97" s="158"/>
      <c r="D97" s="3" t="s">
        <v>49</v>
      </c>
      <c r="E97" s="9">
        <v>5</v>
      </c>
    </row>
    <row r="98" spans="1:5" x14ac:dyDescent="0.2">
      <c r="A98" s="73" t="s">
        <v>26</v>
      </c>
      <c r="B98" s="157" t="s">
        <v>34</v>
      </c>
      <c r="C98" s="158"/>
      <c r="D98" s="3" t="s">
        <v>50</v>
      </c>
      <c r="E98" s="9">
        <v>4</v>
      </c>
    </row>
    <row r="99" spans="1:5" x14ac:dyDescent="0.2">
      <c r="A99" s="73" t="s">
        <v>27</v>
      </c>
      <c r="B99" s="157" t="s">
        <v>35</v>
      </c>
      <c r="C99" s="158"/>
      <c r="D99" s="3" t="s">
        <v>4</v>
      </c>
      <c r="E99" s="9">
        <v>3</v>
      </c>
    </row>
    <row r="100" spans="1:5" x14ac:dyDescent="0.2">
      <c r="A100" s="73" t="s">
        <v>2</v>
      </c>
      <c r="B100" s="157" t="s">
        <v>36</v>
      </c>
      <c r="C100" s="158"/>
      <c r="D100" s="3" t="s">
        <v>5</v>
      </c>
      <c r="E100" s="9">
        <v>2</v>
      </c>
    </row>
    <row r="101" spans="1:5" x14ac:dyDescent="0.2">
      <c r="A101" s="73" t="s">
        <v>28</v>
      </c>
      <c r="B101" s="157" t="s">
        <v>37</v>
      </c>
      <c r="C101" s="15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4" t="s">
        <v>38</v>
      </c>
      <c r="C102" s="165"/>
      <c r="D102" s="5"/>
      <c r="E102" s="8"/>
    </row>
    <row r="103" spans="1:5" ht="13.5" thickBot="1" x14ac:dyDescent="0.25">
      <c r="A103" s="150" t="s">
        <v>68</v>
      </c>
      <c r="B103" s="151"/>
      <c r="C103" s="152"/>
      <c r="D103" s="153" t="s">
        <v>45</v>
      </c>
      <c r="E103" s="154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0" t="s">
        <v>21</v>
      </c>
      <c r="B112" s="151"/>
      <c r="C112" s="154"/>
    </row>
    <row r="113" spans="1:3" x14ac:dyDescent="0.2">
      <c r="A113" s="73">
        <v>1</v>
      </c>
      <c r="B113" s="155" t="s">
        <v>40</v>
      </c>
      <c r="C113" s="156"/>
    </row>
    <row r="114" spans="1:3" x14ac:dyDescent="0.2">
      <c r="A114" s="73" t="s">
        <v>39</v>
      </c>
      <c r="B114" s="157" t="s">
        <v>41</v>
      </c>
      <c r="C114" s="158"/>
    </row>
    <row r="115" spans="1:3" x14ac:dyDescent="0.2">
      <c r="A115" s="74" t="s">
        <v>15</v>
      </c>
      <c r="B115" s="162" t="s">
        <v>42</v>
      </c>
      <c r="C115" s="163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9" t="s">
        <v>127</v>
      </c>
      <c r="B1" s="159"/>
      <c r="C1" s="159"/>
      <c r="D1" s="159"/>
      <c r="E1" s="159"/>
      <c r="F1" s="159"/>
      <c r="G1" s="159"/>
      <c r="H1" s="14"/>
    </row>
    <row r="2" spans="1:14" x14ac:dyDescent="0.2">
      <c r="A2" s="168" t="s">
        <v>138</v>
      </c>
      <c r="B2" s="168"/>
      <c r="C2" s="15"/>
      <c r="D2" s="15"/>
      <c r="E2" s="15"/>
      <c r="F2" s="15"/>
      <c r="G2" s="15"/>
      <c r="H2" s="15"/>
    </row>
    <row r="3" spans="1:14" x14ac:dyDescent="0.2">
      <c r="A3" s="169" t="s">
        <v>52</v>
      </c>
      <c r="B3" s="169"/>
      <c r="C3" s="15"/>
      <c r="D3" s="15"/>
      <c r="E3" s="15"/>
      <c r="F3" s="15"/>
      <c r="G3" s="15"/>
      <c r="H3" s="15"/>
    </row>
    <row r="4" spans="1:14" x14ac:dyDescent="0.2">
      <c r="A4" s="169" t="s">
        <v>55</v>
      </c>
      <c r="B4" s="169"/>
      <c r="C4" s="15"/>
      <c r="D4" s="15"/>
      <c r="E4" s="15"/>
      <c r="F4" s="15"/>
      <c r="G4" s="15"/>
      <c r="H4" s="15"/>
    </row>
    <row r="5" spans="1:14" x14ac:dyDescent="0.2">
      <c r="A5" s="169" t="s">
        <v>51</v>
      </c>
      <c r="B5" s="169"/>
      <c r="C5" s="15"/>
      <c r="D5" s="15"/>
      <c r="E5" s="15"/>
      <c r="F5" s="15"/>
      <c r="G5" s="15"/>
      <c r="H5" s="15"/>
    </row>
    <row r="6" spans="1:14" x14ac:dyDescent="0.2">
      <c r="A6" s="166" t="s">
        <v>128</v>
      </c>
      <c r="B6" s="166"/>
    </row>
    <row r="7" spans="1:14" x14ac:dyDescent="0.2">
      <c r="A7" s="166" t="s">
        <v>129</v>
      </c>
      <c r="B7" s="166"/>
      <c r="C7" s="167"/>
      <c r="D7" s="167"/>
      <c r="E7" s="167"/>
      <c r="F7" s="167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5" t="s">
        <v>4887</v>
      </c>
      <c r="C312" s="39">
        <v>1</v>
      </c>
      <c r="D312" s="117" t="s">
        <v>149</v>
      </c>
      <c r="E312" s="13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6" customFormat="1" x14ac:dyDescent="0.2">
      <c r="A822" s="36" t="s">
        <v>4853</v>
      </c>
      <c r="B822" s="117" t="s">
        <v>2293</v>
      </c>
      <c r="C822" s="37">
        <v>6</v>
      </c>
      <c r="D822" s="117" t="s">
        <v>149</v>
      </c>
      <c r="E822" s="12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5" customFormat="1" x14ac:dyDescent="0.2">
      <c r="A985" s="36" t="s">
        <v>4851</v>
      </c>
      <c r="B985" s="117" t="s">
        <v>4852</v>
      </c>
      <c r="C985" s="39">
        <v>7</v>
      </c>
      <c r="D985" s="117" t="s">
        <v>149</v>
      </c>
      <c r="E985" s="118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6" customFormat="1" x14ac:dyDescent="0.2">
      <c r="A1088" s="36" t="s">
        <v>5456</v>
      </c>
      <c r="B1088" s="146" t="s">
        <v>1907</v>
      </c>
      <c r="C1088" s="37">
        <v>3</v>
      </c>
      <c r="D1088" s="146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0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3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4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28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5" t="s">
        <v>4885</v>
      </c>
      <c r="C1458" s="39">
        <v>4</v>
      </c>
      <c r="D1458" s="117" t="s">
        <v>149</v>
      </c>
      <c r="E1458" s="117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3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8" customFormat="1" ht="15" x14ac:dyDescent="0.25">
      <c r="A1647" s="109" t="s">
        <v>4844</v>
      </c>
      <c r="C1647" s="108">
        <v>0</v>
      </c>
      <c r="D1647" s="108" t="s">
        <v>157</v>
      </c>
      <c r="E1647" s="108" t="s">
        <v>152</v>
      </c>
    </row>
    <row r="1648" spans="1:6" s="127" customFormat="1" ht="15" x14ac:dyDescent="0.25">
      <c r="A1648" s="130" t="s">
        <v>4844</v>
      </c>
      <c r="C1648" s="127">
        <v>0</v>
      </c>
      <c r="D1648" s="127" t="s">
        <v>157</v>
      </c>
      <c r="E1648" s="127" t="s">
        <v>152</v>
      </c>
    </row>
    <row r="1649" spans="1:6" s="127" customFormat="1" ht="15" x14ac:dyDescent="0.25">
      <c r="A1649" s="130" t="s">
        <v>4861</v>
      </c>
      <c r="C1649" s="127">
        <v>0</v>
      </c>
      <c r="D1649" s="127" t="s">
        <v>157</v>
      </c>
      <c r="E1649" s="127" t="s">
        <v>152</v>
      </c>
    </row>
    <row r="1650" spans="1:6" s="127" customFormat="1" ht="15" x14ac:dyDescent="0.25">
      <c r="A1650" s="130" t="s">
        <v>4861</v>
      </c>
      <c r="C1650" s="127">
        <v>0</v>
      </c>
      <c r="D1650" s="127" t="s">
        <v>157</v>
      </c>
      <c r="E1650" s="127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38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2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28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5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17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28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5" t="s">
        <v>4882</v>
      </c>
      <c r="C2446" s="39">
        <v>2</v>
      </c>
      <c r="D2446" s="117" t="s">
        <v>157</v>
      </c>
      <c r="E2446" s="136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28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37" customFormat="1" x14ac:dyDescent="0.2">
      <c r="A2531" s="36" t="s">
        <v>3958</v>
      </c>
      <c r="C2531" s="37">
        <v>3</v>
      </c>
      <c r="D2531" s="137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0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5" customFormat="1" ht="15" x14ac:dyDescent="0.25">
      <c r="A2546" s="147" t="s">
        <v>5455</v>
      </c>
      <c r="C2546" s="145">
        <v>4</v>
      </c>
      <c r="D2546" s="145" t="s">
        <v>149</v>
      </c>
      <c r="E2546" s="145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1" customFormat="1" ht="15" x14ac:dyDescent="0.25">
      <c r="A2604" s="112" t="s">
        <v>4848</v>
      </c>
      <c r="B2604" s="111" t="s">
        <v>4849</v>
      </c>
      <c r="C2604" s="111">
        <v>0</v>
      </c>
      <c r="D2604" s="111" t="s">
        <v>149</v>
      </c>
      <c r="E2604" s="111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6" customFormat="1" x14ac:dyDescent="0.2">
      <c r="A2678" s="36" t="s">
        <v>4856</v>
      </c>
      <c r="B2678" s="126" t="s">
        <v>4152</v>
      </c>
      <c r="C2678" s="126">
        <v>1</v>
      </c>
      <c r="D2678" s="126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5" t="s">
        <v>4884</v>
      </c>
      <c r="C2846" s="39">
        <v>1</v>
      </c>
      <c r="D2846" s="117" t="s">
        <v>149</v>
      </c>
      <c r="E2846" s="136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39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0" customFormat="1" x14ac:dyDescent="0.2">
      <c r="A3049" s="36" t="s">
        <v>4845</v>
      </c>
      <c r="B3049" s="110" t="s">
        <v>4846</v>
      </c>
      <c r="C3049" s="37">
        <v>0</v>
      </c>
      <c r="D3049" s="110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28" t="s">
        <v>4858</v>
      </c>
      <c r="C3073" s="39">
        <v>4</v>
      </c>
      <c r="D3073" s="31" t="s">
        <v>149</v>
      </c>
      <c r="E3073" s="39" t="s">
        <v>147</v>
      </c>
    </row>
    <row r="3074" spans="1:7" s="129" customFormat="1" ht="15" x14ac:dyDescent="0.25">
      <c r="A3074" s="131" t="s">
        <v>4867</v>
      </c>
      <c r="C3074" s="39">
        <v>4</v>
      </c>
      <c r="D3074" s="129" t="s">
        <v>149</v>
      </c>
      <c r="E3074" s="39" t="s">
        <v>147</v>
      </c>
    </row>
    <row r="3075" spans="1:7" s="129" customFormat="1" ht="15" x14ac:dyDescent="0.25">
      <c r="A3075" s="131" t="s">
        <v>4868</v>
      </c>
      <c r="C3075" s="39">
        <v>7</v>
      </c>
      <c r="D3075" s="129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4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70" t="s">
        <v>127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x14ac:dyDescent="0.2">
      <c r="A2" s="86" t="s">
        <v>138</v>
      </c>
      <c r="B2" s="103" t="s">
        <v>5517</v>
      </c>
      <c r="C2" s="46" t="str">
        <f>CONCATENATE(B2,2024)</f>
        <v>WWRP RCG unit 5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1"/>
      <c r="C7" s="171"/>
      <c r="D7" s="171"/>
      <c r="E7" s="17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48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0.23076923076923078</v>
      </c>
      <c r="O10" s="107">
        <f t="shared" ref="O10:O11" si="3">D10*N10</f>
        <v>0.46153846153846156</v>
      </c>
    </row>
    <row r="11" spans="1:15" ht="13.5" thickBot="1" x14ac:dyDescent="0.25">
      <c r="A11" s="149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8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0.23076923076923078</v>
      </c>
      <c r="O11" s="107">
        <f t="shared" si="3"/>
        <v>0.46153846153846156</v>
      </c>
    </row>
    <row r="12" spans="1:15" ht="13.5" thickBot="1" x14ac:dyDescent="0.25">
      <c r="A12" s="148" t="s">
        <v>3808</v>
      </c>
      <c r="B12" s="44" t="str">
        <f>IF(LEN(VLOOKUP(A12,'Species List'!$A:$G,2,FALSE))=0,"",VLOOKUP(A12,'Species List'!$A:$G,2,FALSE))</f>
        <v>black raspberry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8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0.23076923076923078</v>
      </c>
      <c r="O12" s="85">
        <f>D12*N12</f>
        <v>0.46153846153846156</v>
      </c>
    </row>
    <row r="13" spans="1:15" ht="13.5" thickBot="1" x14ac:dyDescent="0.25">
      <c r="A13" s="148" t="s">
        <v>162</v>
      </c>
      <c r="B13" s="44" t="str">
        <f>IF(LEN(VLOOKUP(A13,'Species List'!$A:$G,2,FALSE))=0,"",VLOOKUP(A13,'Species List'!$A:$G,2,FALSE))</f>
        <v>box elder</v>
      </c>
      <c r="C13" s="44">
        <f>IF(LEN(VLOOKUP(A13,'Species List'!$A:$G,3,FALSE))=0,"",VLOOKUP(A13,'Species List'!$A:$G,3,FALSE))</f>
        <v>1</v>
      </c>
      <c r="D13" s="98">
        <f t="shared" ref="D13:D76" si="4">VALUE(C13)</f>
        <v>1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148" t="s">
        <v>4824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3.8461538461538464E-2</v>
      </c>
      <c r="O13" s="97">
        <f t="shared" ref="O13:O76" si="6">D13*N13</f>
        <v>3.8461538461538464E-2</v>
      </c>
    </row>
    <row r="14" spans="1:15" ht="13.5" thickBot="1" x14ac:dyDescent="0.25">
      <c r="A14" s="148" t="s">
        <v>3609</v>
      </c>
      <c r="B14" s="44" t="str">
        <f>IF(LEN(VLOOKUP(A14,'Species List'!$A:$G,2,FALSE))=0,"",VLOOKUP(A14,'Species List'!$A:$G,2,FALSE))</f>
        <v>black cherry</v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0.23076923076923078</v>
      </c>
      <c r="O14" s="97">
        <f t="shared" si="6"/>
        <v>0.92307692307692313</v>
      </c>
    </row>
    <row r="15" spans="1:15" ht="13.5" thickBot="1" x14ac:dyDescent="0.25">
      <c r="A15" s="148" t="s">
        <v>159</v>
      </c>
      <c r="B15" s="44" t="str">
        <f>IF(LEN(VLOOKUP(A15,'Species List'!$A:$G,2,FALSE))=0,"",VLOOKUP(A15,'Species List'!$A:$G,2,FALSE))</f>
        <v>amur maple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48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85">
        <f t="shared" si="2"/>
        <v>3.8461538461538464E-2</v>
      </c>
      <c r="O15" s="97">
        <f t="shared" si="6"/>
        <v>0</v>
      </c>
    </row>
    <row r="16" spans="1:15" ht="13.5" thickBot="1" x14ac:dyDescent="0.25">
      <c r="A16" s="12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2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2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2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19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2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9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2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9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2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9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2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2" t="s">
        <v>4791</v>
      </c>
      <c r="J151" s="173"/>
      <c r="K151" s="174"/>
      <c r="L151" s="63">
        <f>SUMIF(L10:L150,"&gt;=0")</f>
        <v>13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F72E358B-9011-48C7-9383-CDF5F69950F1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B25" sqref="B2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70" t="s">
        <v>127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1"/>
      <c r="C7" s="171"/>
      <c r="D7" s="171"/>
      <c r="E7" s="17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2910</v>
      </c>
      <c r="B10" s="44" t="str">
        <f>IF(LEN(VLOOKUP(A10,'Species List'!$A:$G,2,FALSE))=0,"",VLOOKUP(A10,'Species List'!$A:$G,2,FALSE))</f>
        <v>wild bergamot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48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0.13100436681222707</v>
      </c>
      <c r="O10" s="107">
        <f t="shared" ref="O10:O11" si="3">D10*N10</f>
        <v>0.39301310043668125</v>
      </c>
    </row>
    <row r="11" spans="1:15" ht="13.5" thickBot="1" x14ac:dyDescent="0.25">
      <c r="A11" s="148" t="s">
        <v>4660</v>
      </c>
      <c r="B11" s="44" t="str">
        <f>IF(LEN(VLOOKUP(A11,'Species List'!$A:$G,2,FALSE))=0,"",VLOOKUP(A11,'Species List'!$A:$G,2,FALSE))</f>
        <v>spring vetch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FACU-</v>
      </c>
      <c r="H11" s="44">
        <f>VLOOKUP(A11,'Species List'!$A:$G,7,FALSE)</f>
        <v>0</v>
      </c>
      <c r="J11" s="148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2.6200873362445413E-2</v>
      </c>
      <c r="O11" s="107">
        <f t="shared" si="3"/>
        <v>0</v>
      </c>
    </row>
    <row r="12" spans="1:15" ht="13.5" thickBot="1" x14ac:dyDescent="0.25">
      <c r="A12" s="148" t="s">
        <v>2854</v>
      </c>
      <c r="B12" s="44" t="str">
        <f>IF(LEN(VLOOKUP(A12,'Species List'!$A:$G,2,FALSE))=0,"",VLOOKUP(A12,'Species List'!$A:$G,2,FALSE))</f>
        <v>white sweet clover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8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2.6200873362445413E-2</v>
      </c>
      <c r="O12" s="85">
        <f>D12*N12</f>
        <v>0</v>
      </c>
    </row>
    <row r="13" spans="1:15" ht="13.5" thickBot="1" x14ac:dyDescent="0.25">
      <c r="A13" s="148" t="s">
        <v>1501</v>
      </c>
      <c r="B13" s="44" t="str">
        <f>IF(LEN(VLOOKUP(A13,'Species List'!$A:$G,2,FALSE))=0,"",VLOOKUP(A13,'Species List'!$A:$G,2,FALSE))</f>
        <v>honewort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48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2.6200873362445413E-2</v>
      </c>
      <c r="O13" s="97">
        <f t="shared" ref="O13:O75" si="6">D13*N13</f>
        <v>7.8602620087336234E-2</v>
      </c>
    </row>
    <row r="14" spans="1:15" ht="13.5" thickBot="1" x14ac:dyDescent="0.25">
      <c r="A14" s="148" t="s">
        <v>4858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8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2.6200873362445413E-2</v>
      </c>
      <c r="O14" s="97">
        <f t="shared" si="6"/>
        <v>0.10480349344978165</v>
      </c>
    </row>
    <row r="15" spans="1:15" ht="13.5" thickBot="1" x14ac:dyDescent="0.25">
      <c r="A15" s="148" t="s">
        <v>4168</v>
      </c>
      <c r="B15" s="44" t="str">
        <f>IF(LEN(VLOOKUP(A15,'Species List'!$A:$G,2,FALSE))=0,"",VLOOKUP(A15,'Species List'!$A:$G,2,FALSE))</f>
        <v>giant goldenrod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48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2.6200873362445413E-2</v>
      </c>
      <c r="O15" s="97">
        <f t="shared" si="6"/>
        <v>7.8602620087336234E-2</v>
      </c>
    </row>
    <row r="16" spans="1:15" ht="13.5" thickBot="1" x14ac:dyDescent="0.25">
      <c r="A16" s="148" t="s">
        <v>2773</v>
      </c>
      <c r="B16" s="44" t="str">
        <f>IF(LEN(VLOOKUP(A16,'Species List'!$A:$G,2,FALSE))=0,"",VLOOKUP(A16,'Species List'!$A:$G,2,FALSE))</f>
        <v>cut-leaved bugleweed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48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2.6200873362445413E-2</v>
      </c>
      <c r="O16" s="97">
        <f t="shared" si="6"/>
        <v>0.10480349344978165</v>
      </c>
    </row>
    <row r="17" spans="1:15" ht="13.5" thickBot="1" x14ac:dyDescent="0.25">
      <c r="A17" s="148" t="s">
        <v>4412</v>
      </c>
      <c r="B17" s="44" t="str">
        <f>IF(LEN(VLOOKUP(A17,'Species List'!$A:$G,2,FALSE))=0,"",VLOOKUP(A17,'Species List'!$A:$G,2,FALSE))</f>
        <v>common dandelion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8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2.6200873362445413E-2</v>
      </c>
      <c r="O17" s="97">
        <f t="shared" si="6"/>
        <v>0</v>
      </c>
    </row>
    <row r="18" spans="1:15" ht="13.5" thickBot="1" x14ac:dyDescent="0.25">
      <c r="A18" s="148" t="s">
        <v>547</v>
      </c>
      <c r="B18" s="44" t="str">
        <f>IF(LEN(VLOOKUP(A18,'Species List'!$A:$G,2,FALSE))=0,"",VLOOKUP(A18,'Species List'!$A:$G,2,FALSE))</f>
        <v>common milkweed</v>
      </c>
      <c r="C18" s="44">
        <f>IF(LEN(VLOOKUP(A18,'Species List'!$A:$G,3,FALSE))=0,"",VLOOKUP(A18,'Species List'!$A:$G,3,FALSE))</f>
        <v>1</v>
      </c>
      <c r="D18" s="98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48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2.6200873362445413E-2</v>
      </c>
      <c r="O18" s="97">
        <f t="shared" si="6"/>
        <v>2.6200873362445413E-2</v>
      </c>
    </row>
    <row r="19" spans="1:15" ht="13.5" thickBot="1" x14ac:dyDescent="0.25">
      <c r="A19" s="148" t="s">
        <v>1356</v>
      </c>
      <c r="B19" s="44" t="str">
        <f>IF(LEN(VLOOKUP(A19,'Species List'!$A:$G,2,FALSE))=0,"",VLOOKUP(A19,'Species List'!$A:$G,2,FALSE))</f>
        <v>Canada thistle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4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2.6200873362445413E-2</v>
      </c>
      <c r="O19" s="97">
        <f t="shared" si="6"/>
        <v>0</v>
      </c>
    </row>
    <row r="20" spans="1:15" ht="13.5" thickBot="1" x14ac:dyDescent="0.25">
      <c r="A20" s="148" t="s">
        <v>5448</v>
      </c>
      <c r="B20" s="44" t="str">
        <f>IF(LEN(VLOOKUP(A20,'Species List'!$A:$G,2,FALSE))=0,"",VLOOKUP(A20,'Species List'!$A:$G,2,FALSE))</f>
        <v>field sow thistle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FAC-</v>
      </c>
      <c r="H20" s="44">
        <f>VLOOKUP(A20,'Species List'!$A:$G,7,FALSE)</f>
        <v>0</v>
      </c>
      <c r="J20" s="148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97">
        <f t="shared" si="2"/>
        <v>0.13100436681222707</v>
      </c>
      <c r="O20" s="97">
        <f t="shared" si="6"/>
        <v>0</v>
      </c>
    </row>
    <row r="21" spans="1:15" ht="13.5" thickBot="1" x14ac:dyDescent="0.25">
      <c r="A21" s="148" t="s">
        <v>4159</v>
      </c>
      <c r="B21" s="44" t="str">
        <f>IF(LEN(VLOOKUP(A21,'Species List'!$A:$G,2,FALSE))=0,"",VLOOKUP(A21,'Species List'!$A:$G,2,FALSE))</f>
        <v>late goldenrod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48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2.6200873362445413E-2</v>
      </c>
      <c r="O21" s="97">
        <f t="shared" si="6"/>
        <v>2.6200873362445413E-2</v>
      </c>
    </row>
    <row r="22" spans="1:15" ht="13.5" thickBot="1" x14ac:dyDescent="0.25">
      <c r="A22" s="148" t="s">
        <v>234</v>
      </c>
      <c r="B22" s="44" t="str">
        <f>IF(LEN(VLOOKUP(A22,'Species List'!$A:$G,2,FALSE))=0,"",VLOOKUP(A22,'Species List'!$A:$G,2,FALSE))</f>
        <v>white snakeroot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2.6200873362445413E-2</v>
      </c>
      <c r="O22" s="97">
        <f t="shared" si="6"/>
        <v>2.6200873362445413E-2</v>
      </c>
    </row>
    <row r="23" spans="1:15" ht="13.5" thickBot="1" x14ac:dyDescent="0.25">
      <c r="A23" s="148" t="s">
        <v>324</v>
      </c>
      <c r="B23" s="44" t="str">
        <f>IF(LEN(VLOOKUP(A23,'Species List'!$A:$G,2,FALSE))=0,"",VLOOKUP(A23,'Species List'!$A:$G,2,FALSE))</f>
        <v>great ragweed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[FAC+]</v>
      </c>
      <c r="H23" s="44">
        <f>VLOOKUP(A23,'Species List'!$A:$G,7,FALSE)</f>
        <v>0</v>
      </c>
      <c r="J23" s="148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2.6200873362445413E-2</v>
      </c>
      <c r="O23" s="97">
        <f t="shared" si="6"/>
        <v>0</v>
      </c>
    </row>
    <row r="24" spans="1:15" ht="13.5" thickBot="1" x14ac:dyDescent="0.25">
      <c r="A24" s="148" t="s">
        <v>4877</v>
      </c>
      <c r="B24" s="44" t="str">
        <f>IF(LEN(VLOOKUP(A24,'Species List'!$A:$G,2,FALSE))=0,"",VLOOKUP(A24,'Species List'!$A:$G,2,FALSE))</f>
        <v>great St. John's-wort</v>
      </c>
      <c r="C24" s="44">
        <f>IF(LEN(VLOOKUP(A24,'Species List'!$A:$G,3,FALSE))=0,"",VLOOKUP(A24,'Species List'!$A:$G,3,FALSE))</f>
        <v>6</v>
      </c>
      <c r="D24" s="98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[FAC+]</v>
      </c>
      <c r="H24" s="44">
        <f>VLOOKUP(A24,'Species List'!$A:$G,7,FALSE)</f>
        <v>0</v>
      </c>
      <c r="J24" s="148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2.6200873362445413E-2</v>
      </c>
      <c r="O24" s="97">
        <f t="shared" si="6"/>
        <v>0.15720524017467247</v>
      </c>
    </row>
    <row r="25" spans="1:15" ht="13.5" thickBot="1" x14ac:dyDescent="0.25">
      <c r="A25" s="148" t="s">
        <v>4500</v>
      </c>
      <c r="B25" s="44" t="str">
        <f>IF(LEN(VLOOKUP(A25,'Species List'!$A:$G,2,FALSE))=0,"",VLOOKUP(A25,'Species List'!$A:$G,2,FALSE))</f>
        <v>red clover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FACU+</v>
      </c>
      <c r="H25" s="44">
        <f>VLOOKUP(A25,'Species List'!$A:$G,7,FALSE)</f>
        <v>0</v>
      </c>
      <c r="J25" s="148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2.6200873362445413E-2</v>
      </c>
      <c r="O25" s="97">
        <f t="shared" si="6"/>
        <v>0</v>
      </c>
    </row>
    <row r="26" spans="1:15" ht="13.5" thickBot="1" x14ac:dyDescent="0.25">
      <c r="A26" s="148" t="s">
        <v>357</v>
      </c>
      <c r="B26" s="44" t="str">
        <f>IF(LEN(VLOOKUP(A26,'Species List'!$A:$G,2,FALSE))=0,"",VLOOKUP(A26,'Species List'!$A:$G,2,FALSE))</f>
        <v>hog peanut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48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2.6200873362445413E-2</v>
      </c>
      <c r="O26" s="97">
        <f t="shared" si="6"/>
        <v>5.2401746724890827E-2</v>
      </c>
    </row>
    <row r="27" spans="1:15" ht="13.5" thickBot="1" x14ac:dyDescent="0.25">
      <c r="A27" s="148" t="s">
        <v>457</v>
      </c>
      <c r="B27" s="44" t="str">
        <f>IF(LEN(VLOOKUP(A27,'Species List'!$A:$G,2,FALSE))=0,"",VLOOKUP(A27,'Species List'!$A:$G,2,FALSE))</f>
        <v>common burdock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48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2.6200873362445413E-2</v>
      </c>
      <c r="O27" s="97">
        <f t="shared" si="6"/>
        <v>0</v>
      </c>
    </row>
    <row r="28" spans="1:15" ht="13.5" thickBot="1" x14ac:dyDescent="0.25">
      <c r="A28" s="148" t="s">
        <v>186</v>
      </c>
      <c r="B28" s="44" t="str">
        <f>IF(LEN(VLOOKUP(A28,'Species List'!$A:$G,2,FALSE))=0,"",VLOOKUP(A28,'Species List'!$A:$G,2,FALSE))</f>
        <v>common yarrow</v>
      </c>
      <c r="C28" s="44">
        <f>IF(LEN(VLOOKUP(A28,'Species List'!$A:$G,3,FALSE))=0,"",VLOOKUP(A28,'Species List'!$A:$G,3,FALSE))</f>
        <v>1</v>
      </c>
      <c r="D28" s="98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8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2.6200873362445413E-2</v>
      </c>
      <c r="O28" s="97">
        <f t="shared" si="6"/>
        <v>2.6200873362445413E-2</v>
      </c>
    </row>
    <row r="29" spans="1:15" ht="13.5" thickBot="1" x14ac:dyDescent="0.25">
      <c r="A29" s="148" t="s">
        <v>1358</v>
      </c>
      <c r="B29" s="44" t="str">
        <f>IF(LEN(VLOOKUP(A29,'Species List'!$A:$G,2,FALSE))=0,"",VLOOKUP(A29,'Species List'!$A:$G,2,FALSE))</f>
        <v>field thistle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48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2.6200873362445413E-2</v>
      </c>
      <c r="O29" s="97">
        <f t="shared" si="6"/>
        <v>0.10480349344978165</v>
      </c>
    </row>
    <row r="30" spans="1:15" ht="13.5" thickBot="1" x14ac:dyDescent="0.25">
      <c r="A30" s="148" t="s">
        <v>2544</v>
      </c>
      <c r="B30" s="44" t="str">
        <f>IF(LEN(VLOOKUP(A30,'Species List'!$A:$G,2,FALSE))=0,"",VLOOKUP(A30,'Species List'!$A:$G,2,FALSE))</f>
        <v>Canada wild lettuce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FACU+</v>
      </c>
      <c r="H30" s="44">
        <f>VLOOKUP(A30,'Species List'!$A:$G,7,FALSE)</f>
        <v>0</v>
      </c>
      <c r="J30" s="148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2.6200873362445413E-2</v>
      </c>
      <c r="O30" s="97">
        <f t="shared" si="6"/>
        <v>5.2401746724890827E-2</v>
      </c>
    </row>
    <row r="31" spans="1:15" ht="13.5" thickBot="1" x14ac:dyDescent="0.25">
      <c r="A31" s="148" t="s">
        <v>3351</v>
      </c>
      <c r="B31" s="44" t="str">
        <f>IF(LEN(VLOOKUP(A31,'Species List'!$A:$G,2,FALSE))=0,"",VLOOKUP(A31,'Species List'!$A:$G,2,FALSE))</f>
        <v>Rugel's plantain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[FAC]</v>
      </c>
      <c r="H31" s="44">
        <f>VLOOKUP(A31,'Species List'!$A:$G,7,FALSE)</f>
        <v>0</v>
      </c>
      <c r="J31" s="148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2.6200873362445413E-2</v>
      </c>
      <c r="O31" s="97">
        <f t="shared" si="6"/>
        <v>0</v>
      </c>
    </row>
    <row r="32" spans="1:15" ht="13.5" thickBot="1" x14ac:dyDescent="0.25">
      <c r="A32" s="148" t="s">
        <v>1367</v>
      </c>
      <c r="B32" s="44" t="str">
        <f>IF(LEN(VLOOKUP(A32,'Species List'!$A:$G,2,FALSE))=0,"",VLOOKUP(A32,'Species List'!$A:$G,2,FALSE))</f>
        <v>bull thistle</v>
      </c>
      <c r="C32" s="44">
        <f>IF(LEN(VLOOKUP(A32,'Species List'!$A:$G,3,FALSE))=0,"",VLOOKUP(A32,'Species List'!$A:$G,3,FALSE))</f>
        <v>0</v>
      </c>
      <c r="D32" s="98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FACU-</v>
      </c>
      <c r="H32" s="44">
        <f>VLOOKUP(A32,'Species List'!$A:$G,7,FALSE)</f>
        <v>0</v>
      </c>
      <c r="J32" s="148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2.6200873362445413E-2</v>
      </c>
      <c r="O32" s="97">
        <f t="shared" si="6"/>
        <v>0</v>
      </c>
    </row>
    <row r="33" spans="1:15" ht="13.5" thickBot="1" x14ac:dyDescent="0.25">
      <c r="A33" s="148" t="s">
        <v>2324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48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2.6200873362445413E-2</v>
      </c>
      <c r="O33" s="97">
        <f t="shared" si="6"/>
        <v>0.13100436681222707</v>
      </c>
    </row>
    <row r="34" spans="1:15" ht="13.5" thickBot="1" x14ac:dyDescent="0.25">
      <c r="A34" s="148" t="s">
        <v>320</v>
      </c>
      <c r="B34" s="44" t="str">
        <f>IF(LEN(VLOOKUP(A34,'Species List'!$A:$G,2,FALSE))=0,"",VLOOKUP(A34,'Species List'!$A:$G,2,FALSE))</f>
        <v>common ragweed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48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2.6200873362445413E-2</v>
      </c>
      <c r="O34" s="97">
        <f t="shared" si="6"/>
        <v>0</v>
      </c>
    </row>
    <row r="35" spans="1:15" ht="13.5" thickBot="1" x14ac:dyDescent="0.25">
      <c r="A35" s="148" t="s">
        <v>4115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4</v>
      </c>
      <c r="D35" s="98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148" t="s">
        <v>4824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97">
        <f t="shared" si="2"/>
        <v>4.3668122270742356E-3</v>
      </c>
      <c r="O35" s="97">
        <f t="shared" si="6"/>
        <v>1.7467248908296942E-2</v>
      </c>
    </row>
    <row r="36" spans="1:15" ht="13.5" thickBot="1" x14ac:dyDescent="0.25">
      <c r="A36" s="148" t="s">
        <v>4360</v>
      </c>
      <c r="B36" s="44" t="str">
        <f>IF(LEN(VLOOKUP(A36,'Species List'!$A:$G,2,FALSE))=0,"",VLOOKUP(A36,'Species List'!$A:$G,2,FALSE))</f>
        <v>panicled aster</v>
      </c>
      <c r="C36" s="44">
        <f>IF(LEN(VLOOKUP(A36,'Species List'!$A:$G,3,FALSE))=0,"",VLOOKUP(A36,'Species List'!$A:$G,3,FALSE))</f>
        <v>5</v>
      </c>
      <c r="D36" s="98">
        <f t="shared" si="4"/>
        <v>5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[FACW]</v>
      </c>
      <c r="H36" s="44">
        <f>VLOOKUP(A36,'Species List'!$A:$G,7,FALSE)</f>
        <v>0</v>
      </c>
      <c r="J36" s="148">
        <v>1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2.6200873362445413E-2</v>
      </c>
      <c r="O36" s="97">
        <f t="shared" si="6"/>
        <v>0.13100436681222707</v>
      </c>
    </row>
    <row r="37" spans="1:15" ht="13.5" thickBot="1" x14ac:dyDescent="0.25">
      <c r="A37" s="148" t="s">
        <v>4103</v>
      </c>
      <c r="B37" s="44" t="str">
        <f>IF(LEN(VLOOKUP(A37,'Species List'!$A:$G,2,FALSE))=0,"",VLOOKUP(A37,'Species List'!$A:$G,2,FALSE))</f>
        <v>white campion</v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Introduced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48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2.6200873362445413E-2</v>
      </c>
      <c r="O37" s="97">
        <f t="shared" si="6"/>
        <v>0</v>
      </c>
    </row>
    <row r="38" spans="1:15" ht="13.5" thickBot="1" x14ac:dyDescent="0.25">
      <c r="A38" s="148" t="s">
        <v>4453</v>
      </c>
      <c r="B38" s="44" t="str">
        <f>IF(LEN(VLOOKUP(A38,'Species List'!$A:$G,2,FALSE))=0,"",VLOOKUP(A38,'Species List'!$A:$G,2,FALSE))</f>
        <v>Japanese Hedge Parsley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48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2.6200873362445413E-2</v>
      </c>
      <c r="O38" s="97">
        <f t="shared" si="6"/>
        <v>0</v>
      </c>
    </row>
    <row r="39" spans="1:15" ht="13.5" thickBot="1" x14ac:dyDescent="0.25">
      <c r="A39" s="148" t="s">
        <v>2842</v>
      </c>
      <c r="B39" s="44" t="str">
        <f>IF(LEN(VLOOKUP(A39,'Species List'!$A:$G,2,FALSE))=0,"",VLOOKUP(A39,'Species List'!$A:$G,2,FALSE))</f>
        <v>black medick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FAC-</v>
      </c>
      <c r="H39" s="44">
        <f>VLOOKUP(A39,'Species List'!$A:$G,7,FALSE)</f>
        <v>0</v>
      </c>
      <c r="J39" s="148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2.6200873362445413E-2</v>
      </c>
      <c r="O39" s="97">
        <f t="shared" si="6"/>
        <v>0</v>
      </c>
    </row>
    <row r="40" spans="1:15" ht="13.5" thickBot="1" x14ac:dyDescent="0.25">
      <c r="A40" s="148" t="s">
        <v>2161</v>
      </c>
      <c r="B40" s="44" t="str">
        <f>IF(LEN(VLOOKUP(A40,'Species List'!$A:$G,2,FALSE))=0,"",VLOOKUP(A40,'Species List'!$A:$G,2,FALSE))</f>
        <v/>
      </c>
      <c r="C40" s="44">
        <f>IF(LEN(VLOOKUP(A40,'Species List'!$A:$G,3,FALSE))=0,"",VLOOKUP(A40,'Species List'!$A:$G,3,FALSE))</f>
        <v>4</v>
      </c>
      <c r="D40" s="98">
        <f t="shared" si="4"/>
        <v>4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FACU+</v>
      </c>
      <c r="H40" s="44">
        <f>VLOOKUP(A40,'Species List'!$A:$G,7,FALSE)</f>
        <v>0</v>
      </c>
      <c r="J40" s="148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2.6200873362445413E-2</v>
      </c>
      <c r="O40" s="97">
        <f t="shared" si="6"/>
        <v>0.10480349344978165</v>
      </c>
    </row>
    <row r="41" spans="1:15" x14ac:dyDescent="0.2">
      <c r="A41" s="123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4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2" t="s">
        <v>4791</v>
      </c>
      <c r="J150" s="173"/>
      <c r="K150" s="174"/>
      <c r="L150" s="63">
        <f>SUMIF(L10:L149,"&gt;=0")</f>
        <v>114.5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9" sqref="J19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70" t="s">
        <v>127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1"/>
      <c r="C7" s="171"/>
      <c r="D7" s="171"/>
      <c r="E7" s="171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3248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13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7">
        <f t="shared" ref="N10:N75" si="2">L10/$L$151</f>
        <v>0.528169014084507</v>
      </c>
      <c r="O10" s="107">
        <f t="shared" ref="O10:O76" si="3">D10*N10</f>
        <v>0</v>
      </c>
    </row>
    <row r="11" spans="1:15" ht="13.5" thickBot="1" x14ac:dyDescent="0.25">
      <c r="A11" s="148" t="s">
        <v>4065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13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4.2253521126760563E-2</v>
      </c>
      <c r="O11" s="107">
        <f t="shared" si="3"/>
        <v>0</v>
      </c>
    </row>
    <row r="12" spans="1:15" ht="13.5" thickBot="1" x14ac:dyDescent="0.25">
      <c r="A12" s="148" t="s">
        <v>1975</v>
      </c>
      <c r="B12" s="44" t="str">
        <f>IF(LEN(VLOOKUP(A12,'Species List'!$A:$G,2,FALSE))=0,"",VLOOKUP(A12,'Species List'!$A:$G,2,FALSE))</f>
        <v>hairy cupgrass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1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4.2253521126760563E-2</v>
      </c>
      <c r="O12" s="106">
        <f t="shared" si="3"/>
        <v>0</v>
      </c>
    </row>
    <row r="13" spans="1:15" ht="13.5" thickBot="1" x14ac:dyDescent="0.25">
      <c r="A13" s="148" t="s">
        <v>252</v>
      </c>
      <c r="B13" s="44" t="str">
        <f>IF(LEN(VLOOKUP(A13,'Species List'!$A:$G,2,FALSE))=0,"",VLOOKUP(A13,'Species List'!$A:$G,2,FALSE))</f>
        <v>redtop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[FACW]</v>
      </c>
      <c r="H13" s="44">
        <f>VLOOKUP(A13,'Species List'!$A:$G,7,FALSE)</f>
        <v>0</v>
      </c>
      <c r="J13" s="105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4.2253521126760563E-2</v>
      </c>
      <c r="O13" s="97">
        <f t="shared" si="3"/>
        <v>0</v>
      </c>
    </row>
    <row r="14" spans="1:15" ht="13.5" thickBot="1" x14ac:dyDescent="0.25">
      <c r="A14" s="148" t="s">
        <v>3403</v>
      </c>
      <c r="B14" s="44" t="str">
        <f>IF(LEN(VLOOKUP(A14,'Species List'!$A:$G,2,FALSE))=0,"",VLOOKUP(A14,'Species List'!$A:$G,2,FALSE))</f>
        <v>Kentucky bluegrass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0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4.2253521126760563E-2</v>
      </c>
      <c r="O14" s="97">
        <f t="shared" si="3"/>
        <v>0</v>
      </c>
    </row>
    <row r="15" spans="1:15" ht="13.5" thickBot="1" x14ac:dyDescent="0.25">
      <c r="A15" s="148" t="s">
        <v>4866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0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4.2253521126760563E-2</v>
      </c>
      <c r="O15" s="97">
        <f t="shared" si="3"/>
        <v>0.12676056338028169</v>
      </c>
    </row>
    <row r="16" spans="1:15" ht="13.5" thickBot="1" x14ac:dyDescent="0.25">
      <c r="A16" s="148" t="s">
        <v>4218</v>
      </c>
      <c r="B16" s="44" t="str">
        <f>IF(LEN(VLOOKUP(A16,'Species List'!$A:$G,2,FALSE))=0,"",VLOOKUP(A16,'Species List'!$A:$G,2,FALSE))</f>
        <v>Indian grass</v>
      </c>
      <c r="C16" s="44">
        <f>IF(LEN(VLOOKUP(A16,'Species List'!$A:$G,3,FALSE))=0,"",VLOOKUP(A16,'Species List'!$A:$G,3,FALSE))</f>
        <v>5</v>
      </c>
      <c r="D16" s="98">
        <f t="shared" si="0"/>
        <v>5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04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7.0422535211267607E-3</v>
      </c>
      <c r="O16" s="97">
        <f t="shared" si="3"/>
        <v>3.5211267605633804E-2</v>
      </c>
    </row>
    <row r="17" spans="1:15" ht="13.5" thickBot="1" x14ac:dyDescent="0.25">
      <c r="A17" s="148" t="s">
        <v>1847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8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10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4.2253521126760563E-2</v>
      </c>
      <c r="O17" s="97">
        <f t="shared" si="3"/>
        <v>0.12676056338028169</v>
      </c>
    </row>
    <row r="18" spans="1:15" ht="13.5" thickBot="1" x14ac:dyDescent="0.25">
      <c r="A18" s="148" t="s">
        <v>1857</v>
      </c>
      <c r="B18" s="44" t="str">
        <f>IF(LEN(VLOOKUP(A18,'Species List'!$A:$G,2,FALSE))=0,"",VLOOKUP(A18,'Species List'!$A:$G,2,FALSE))</f>
        <v>quackgrass</v>
      </c>
      <c r="C18" s="44">
        <f>IF(LEN(VLOOKUP(A18,'Species List'!$A:$G,3,FALSE))=0,"",VLOOKUP(A18,'Species List'!$A:$G,3,FALSE))</f>
        <v>0</v>
      </c>
      <c r="D18" s="98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04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1"/>
        <v>15</v>
      </c>
      <c r="N18" s="97">
        <f t="shared" si="2"/>
        <v>0.21126760563380281</v>
      </c>
      <c r="O18" s="97">
        <f t="shared" si="3"/>
        <v>0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2" t="s">
        <v>4791</v>
      </c>
      <c r="J151" s="173"/>
      <c r="K151" s="174"/>
      <c r="L151" s="63">
        <f>SUMIF(L10:L150,"&gt;=0")</f>
        <v>71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5560-1CF0-4300-BEA7-42CCF56B89D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5" t="s">
        <v>4779</v>
      </c>
      <c r="B1" s="175"/>
      <c r="C1" s="175"/>
      <c r="D1" s="175"/>
      <c r="E1" s="175"/>
      <c r="F1" s="175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5</v>
      </c>
      <c r="C4" s="101">
        <f>COUNTIF(Forbs!$F$10:$F$147,"Native")</f>
        <v>20</v>
      </c>
      <c r="D4" s="101">
        <f>COUNTIF(Grasses!$F$10:$F$149,"Native")</f>
        <v>3</v>
      </c>
      <c r="E4" s="101">
        <f>AVERAGE(B4:D4)</f>
        <v>9.3333333333333339</v>
      </c>
      <c r="F4" s="101">
        <f>SUM(B4:D4)</f>
        <v>28</v>
      </c>
    </row>
    <row r="5" spans="1:6" ht="18" x14ac:dyDescent="0.25">
      <c r="A5" s="53" t="s">
        <v>4784</v>
      </c>
      <c r="B5" s="101">
        <f>COUNTIF(Woody!$F10:$F199,"Introduced")</f>
        <v>1</v>
      </c>
      <c r="C5" s="101">
        <f>COUNTIF(Forbs!$F10:$F198,"Introduced")</f>
        <v>11</v>
      </c>
      <c r="D5" s="101">
        <f>COUNTIF(Grasses!$F10:$F199,"Introduced")</f>
        <v>6</v>
      </c>
      <c r="E5" s="101">
        <f t="shared" ref="E5:E6" si="0">AVERAGE(B5:D5)</f>
        <v>6</v>
      </c>
      <c r="F5" s="101">
        <f>SUM(B5:D5)</f>
        <v>18</v>
      </c>
    </row>
    <row r="6" spans="1:6" s="81" customFormat="1" ht="21" x14ac:dyDescent="0.35">
      <c r="A6" s="53" t="s">
        <v>4826</v>
      </c>
      <c r="B6" s="101">
        <f>SUM(B4:B5)</f>
        <v>6</v>
      </c>
      <c r="C6" s="101">
        <f>SUM(C4:C5)</f>
        <v>31</v>
      </c>
      <c r="D6" s="101">
        <f>SUM(D4:D5)</f>
        <v>9</v>
      </c>
      <c r="E6" s="101">
        <f t="shared" si="0"/>
        <v>15.333333333333334</v>
      </c>
      <c r="F6" s="101">
        <f>SUM(B6:D6)</f>
        <v>46</v>
      </c>
    </row>
    <row r="7" spans="1:6" ht="18" x14ac:dyDescent="0.25">
      <c r="A7" s="53" t="s">
        <v>4785</v>
      </c>
      <c r="B7" s="101">
        <f>AVERAGEIF(Woody!D10:D150,"&gt;0")</f>
        <v>2.2000000000000002</v>
      </c>
      <c r="C7" s="101">
        <f>AVERAGEIF(Forbs!D10:D149,"&gt;0")</f>
        <v>3.1176470588235294</v>
      </c>
      <c r="D7" s="101">
        <f>AVERAGEIF(Grasses!D10:D150,"&gt;0")</f>
        <v>3.6666666666666665</v>
      </c>
      <c r="E7" s="101">
        <f>AVERAGE(B7:D7)</f>
        <v>2.9947712418300654</v>
      </c>
      <c r="F7" s="101">
        <f>(SUMIF(Woody!D10:D150,"&gt;0")+SUMIF(Forbs!D10:D149,"&gt;0")+SUMIF(Grasses!D10:D150,"&gt;0"))/(COUNTIF(Woody!D10:D150,"&gt;0")+COUNTIF(Forbs!D10:D149,"&gt;0")+COUNTIF(Grasses!D10:D150,"&gt;0"))</f>
        <v>3</v>
      </c>
    </row>
    <row r="8" spans="1:6" s="31" customFormat="1" ht="21" x14ac:dyDescent="0.35">
      <c r="A8" s="53" t="s">
        <v>4827</v>
      </c>
      <c r="B8" s="101">
        <f>AVERAGEIF(Woody!D10:D150,"&gt;=0")</f>
        <v>1.8333333333333333</v>
      </c>
      <c r="C8" s="101">
        <f>AVERAGEIF(Forbs!D10:D149,"&gt;=0")</f>
        <v>1.7096774193548387</v>
      </c>
      <c r="D8" s="101">
        <f>AVERAGEIF(Grasses!D10:D150,"&gt;=0")</f>
        <v>1.2222222222222223</v>
      </c>
      <c r="E8" s="101">
        <f>AVERAGE(B8:D8)</f>
        <v>1.5884109916367981</v>
      </c>
      <c r="F8" s="101">
        <f>(SUMIF(Woody!D10:D150,"&gt;=0")+SUMIF(Forbs!D10:D149,"&gt;=0")+SUMIF(Grasses!D10:D150,"&gt;=0"))/(COUNTIF(Woody!D10:D150,"&gt;=0")+COUNTIF(Forbs!D10:D149,"&gt;=0")+COUNTIF(Grasses!D10:D150,"&gt;=0"))</f>
        <v>1.6304347826086956</v>
      </c>
    </row>
    <row r="9" spans="1:6" ht="18" x14ac:dyDescent="0.25">
      <c r="A9" s="53" t="s">
        <v>4778</v>
      </c>
      <c r="B9" s="101">
        <f>SQRT(B4)*B7</f>
        <v>4.9193495504995379</v>
      </c>
      <c r="C9" s="101">
        <f>SQRT(C4)*C7</f>
        <v>13.942541506763396</v>
      </c>
      <c r="D9" s="101">
        <f>SQRT(D4)*D7</f>
        <v>6.3508529610858826</v>
      </c>
      <c r="E9" s="101">
        <f>SQRT(E4)*E7</f>
        <v>9.1491772698421183</v>
      </c>
      <c r="F9" s="101">
        <f>SQRT(F4)*F7</f>
        <v>15.874507866387544</v>
      </c>
    </row>
    <row r="10" spans="1:6" s="82" customFormat="1" ht="21" x14ac:dyDescent="0.35">
      <c r="A10" s="53" t="s">
        <v>4828</v>
      </c>
      <c r="B10" s="101">
        <f>SQRT(B6)*B8</f>
        <v>4.4907311951024926</v>
      </c>
      <c r="C10" s="101">
        <f>SQRT(C6)*C8</f>
        <v>9.5190810074190697</v>
      </c>
      <c r="D10" s="101">
        <f>SQRT(D6)*D8</f>
        <v>3.666666666666667</v>
      </c>
      <c r="E10" s="101">
        <f>SQRT(E6)*E8</f>
        <v>6.2198680587351003</v>
      </c>
      <c r="F10" s="101">
        <f>SQRT(F6)*F8</f>
        <v>11.058146711617285</v>
      </c>
    </row>
    <row r="11" spans="1:6" ht="18" x14ac:dyDescent="0.25">
      <c r="A11" s="53" t="s">
        <v>4786</v>
      </c>
      <c r="B11" s="101">
        <f>SUMIF(Woody!$M$10:$M$150,"&gt;=0")</f>
        <v>13</v>
      </c>
      <c r="C11" s="101">
        <f>SUMIF(Forbs!$M$10:$M$150,"&gt;=0")</f>
        <v>114.5</v>
      </c>
      <c r="D11" s="101">
        <f>SUMIF(Grasses!$M$10:$M$150,"&gt;=0")</f>
        <v>71</v>
      </c>
      <c r="E11" s="101">
        <f>AVERAGE(B11:D11)</f>
        <v>66.166666666666671</v>
      </c>
      <c r="F11" s="101">
        <f>SUM(B11:D11)</f>
        <v>198.5</v>
      </c>
    </row>
    <row r="12" spans="1:6" ht="18" x14ac:dyDescent="0.25">
      <c r="A12" s="53" t="s">
        <v>4792</v>
      </c>
      <c r="B12" s="101">
        <f>SUMIF(Woody!$F$10:$F$150,"Introduced",Woody!$L$10:$L$150)</f>
        <v>0.5</v>
      </c>
      <c r="C12" s="101">
        <f>SUMIF(Forbs!$F$10:$F$150,"Introduced",Forbs!$L$10:$L$150)</f>
        <v>45</v>
      </c>
      <c r="D12" s="101">
        <f>SUMIF(Grasses!$F$10:$F$150,"Introduced",Grasses!$L$10:$L$150)</f>
        <v>64.5</v>
      </c>
      <c r="E12" s="101">
        <f>AVERAGE(B12:D12)</f>
        <v>36.666666666666664</v>
      </c>
      <c r="F12" s="101">
        <f>SUM(B12:D12)</f>
        <v>110</v>
      </c>
    </row>
    <row r="13" spans="1:6" ht="18.75" thickBot="1" x14ac:dyDescent="0.3">
      <c r="A13" s="54" t="s">
        <v>4787</v>
      </c>
      <c r="B13" s="102">
        <f>B12/B11</f>
        <v>3.8461538461538464E-2</v>
      </c>
      <c r="C13" s="102">
        <f>C12/C11</f>
        <v>0.3930131004366812</v>
      </c>
      <c r="D13" s="102">
        <f>D12/D11</f>
        <v>0.90845070422535212</v>
      </c>
      <c r="E13" s="102">
        <f>E12/E11</f>
        <v>0.55415617128463468</v>
      </c>
      <c r="F13" s="102">
        <f>F12/F11</f>
        <v>0.55415617128463479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2.3461538461538463</v>
      </c>
      <c r="C15" s="100">
        <f>SUMIF(Forbs!$O$10:$O$149,"&gt;=0")</f>
        <v>1.6157205240174672</v>
      </c>
      <c r="D15" s="100">
        <f>SUMIF(Grasses!$O$10:$O$150,"&gt;=0")</f>
        <v>0.28873239436619719</v>
      </c>
      <c r="E15" s="100">
        <f>AVERAGE(B15:D15)</f>
        <v>1.4168689215125037</v>
      </c>
      <c r="F15" s="101">
        <f>SUM(B15:D15)</f>
        <v>4.250606764537511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2025-11-25T03:26:34Z</dcterms:modified>
</cp:coreProperties>
</file>