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08A23CE3-D8B2-4ECC-82E6-D8FE2FD4A4C1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B10" i="9"/>
  <c r="C10" i="9"/>
  <c r="D10" i="9" s="1"/>
  <c r="E10" i="9"/>
  <c r="F10" i="9"/>
  <c r="G10" i="9"/>
  <c r="B11" i="9"/>
  <c r="C11" i="9"/>
  <c r="D11" i="9"/>
  <c r="E11" i="9"/>
  <c r="F11" i="9"/>
  <c r="G11" i="9"/>
  <c r="B12" i="9"/>
  <c r="C12" i="9"/>
  <c r="D12" i="9"/>
  <c r="E12" i="9"/>
  <c r="F12" i="9"/>
  <c r="G12" i="9"/>
  <c r="B13" i="9"/>
  <c r="C13" i="9"/>
  <c r="D13" i="9"/>
  <c r="E13" i="9"/>
  <c r="F13" i="9"/>
  <c r="G13" i="9"/>
  <c r="B14" i="9"/>
  <c r="C14" i="9"/>
  <c r="D14" i="9" s="1"/>
  <c r="E14" i="9"/>
  <c r="F14" i="9"/>
  <c r="G14" i="9"/>
  <c r="B15" i="9"/>
  <c r="C15" i="9"/>
  <c r="D15" i="9" s="1"/>
  <c r="E15" i="9"/>
  <c r="F15" i="9"/>
  <c r="G15" i="9"/>
  <c r="B16" i="9"/>
  <c r="C16" i="9"/>
  <c r="D16" i="9"/>
  <c r="E16" i="9"/>
  <c r="F16" i="9"/>
  <c r="G16" i="9"/>
  <c r="B17" i="9"/>
  <c r="C17" i="9"/>
  <c r="D17" i="9"/>
  <c r="E17" i="9"/>
  <c r="F17" i="9"/>
  <c r="G17" i="9"/>
  <c r="B18" i="9"/>
  <c r="C18" i="9"/>
  <c r="D18" i="9" s="1"/>
  <c r="E18" i="9"/>
  <c r="F18" i="9"/>
  <c r="G18" i="9"/>
  <c r="B19" i="9"/>
  <c r="C19" i="9"/>
  <c r="D19" i="9" s="1"/>
  <c r="E19" i="9"/>
  <c r="F19" i="9"/>
  <c r="G19" i="9"/>
  <c r="B20" i="9"/>
  <c r="C20" i="9"/>
  <c r="D20" i="9"/>
  <c r="E20" i="9"/>
  <c r="F20" i="9"/>
  <c r="G20" i="9"/>
  <c r="B21" i="9"/>
  <c r="C21" i="9"/>
  <c r="D21" i="9"/>
  <c r="E21" i="9"/>
  <c r="F21" i="9"/>
  <c r="G21" i="9"/>
  <c r="B22" i="9"/>
  <c r="C22" i="9"/>
  <c r="D22" i="9" s="1"/>
  <c r="E22" i="9"/>
  <c r="F22" i="9"/>
  <c r="G22" i="9"/>
  <c r="B23" i="9"/>
  <c r="C23" i="9"/>
  <c r="D23" i="9" s="1"/>
  <c r="E23" i="9"/>
  <c r="F23" i="9"/>
  <c r="G23" i="9"/>
  <c r="B24" i="9"/>
  <c r="C24" i="9"/>
  <c r="D24" i="9" s="1"/>
  <c r="E24" i="9"/>
  <c r="F24" i="9"/>
  <c r="G24" i="9"/>
  <c r="B25" i="9"/>
  <c r="C25" i="9"/>
  <c r="D25" i="9"/>
  <c r="E25" i="9"/>
  <c r="F25" i="9"/>
  <c r="G25" i="9"/>
  <c r="B26" i="9"/>
  <c r="C26" i="9"/>
  <c r="D26" i="9" s="1"/>
  <c r="E26" i="9"/>
  <c r="F26" i="9"/>
  <c r="G26" i="9"/>
  <c r="B27" i="9"/>
  <c r="C27" i="9"/>
  <c r="D27" i="9" s="1"/>
  <c r="E27" i="9"/>
  <c r="F27" i="9"/>
  <c r="G27" i="9"/>
  <c r="B28" i="9"/>
  <c r="C28" i="9"/>
  <c r="D28" i="9" s="1"/>
  <c r="E28" i="9"/>
  <c r="F28" i="9"/>
  <c r="G28" i="9"/>
  <c r="B29" i="9"/>
  <c r="C29" i="9"/>
  <c r="D29" i="9"/>
  <c r="E29" i="9"/>
  <c r="F29" i="9"/>
  <c r="G29" i="9"/>
  <c r="B30" i="9"/>
  <c r="C30" i="9"/>
  <c r="D30" i="9" s="1"/>
  <c r="E30" i="9"/>
  <c r="F30" i="9"/>
  <c r="G30" i="9"/>
  <c r="B31" i="9"/>
  <c r="C31" i="9"/>
  <c r="D31" i="9" s="1"/>
  <c r="E31" i="9"/>
  <c r="F31" i="9"/>
  <c r="G31" i="9"/>
  <c r="B32" i="9"/>
  <c r="C32" i="9"/>
  <c r="D32" i="9" s="1"/>
  <c r="E32" i="9"/>
  <c r="F32" i="9"/>
  <c r="G32" i="9"/>
  <c r="B33" i="9"/>
  <c r="C33" i="9"/>
  <c r="D33" i="9"/>
  <c r="E33" i="9"/>
  <c r="F33" i="9"/>
  <c r="G33" i="9"/>
  <c r="B34" i="9"/>
  <c r="C34" i="9"/>
  <c r="D34" i="9" s="1"/>
  <c r="E34" i="9"/>
  <c r="F34" i="9"/>
  <c r="G34" i="9"/>
  <c r="B35" i="9"/>
  <c r="C35" i="9"/>
  <c r="D35" i="9" s="1"/>
  <c r="E35" i="9"/>
  <c r="F35" i="9"/>
  <c r="G35" i="9"/>
  <c r="B36" i="9"/>
  <c r="C36" i="9"/>
  <c r="D36" i="9" s="1"/>
  <c r="E36" i="9"/>
  <c r="F36" i="9"/>
  <c r="G36" i="9"/>
  <c r="B37" i="9"/>
  <c r="C37" i="9"/>
  <c r="D37" i="9"/>
  <c r="E37" i="9"/>
  <c r="F37" i="9"/>
  <c r="G37" i="9"/>
  <c r="B38" i="9"/>
  <c r="C38" i="9"/>
  <c r="D38" i="9" s="1"/>
  <c r="E38" i="9"/>
  <c r="F38" i="9"/>
  <c r="G38" i="9"/>
  <c r="B39" i="9"/>
  <c r="C39" i="9"/>
  <c r="D39" i="9" s="1"/>
  <c r="E39" i="9"/>
  <c r="F39" i="9"/>
  <c r="G39" i="9"/>
  <c r="B40" i="9"/>
  <c r="C40" i="9"/>
  <c r="D40" i="9" s="1"/>
  <c r="E40" i="9"/>
  <c r="F40" i="9"/>
  <c r="G40" i="9"/>
  <c r="B41" i="9"/>
  <c r="C41" i="9"/>
  <c r="D41" i="9" s="1"/>
  <c r="E41" i="9"/>
  <c r="F41" i="9"/>
  <c r="G41" i="9"/>
  <c r="B42" i="9"/>
  <c r="C42" i="9"/>
  <c r="D42" i="9" s="1"/>
  <c r="E42" i="9"/>
  <c r="F42" i="9"/>
  <c r="G42" i="9"/>
  <c r="B43" i="9"/>
  <c r="C43" i="9"/>
  <c r="D43" i="9" s="1"/>
  <c r="E43" i="9"/>
  <c r="F43" i="9"/>
  <c r="G43" i="9"/>
  <c r="B44" i="9"/>
  <c r="C44" i="9"/>
  <c r="D44" i="9" s="1"/>
  <c r="E44" i="9"/>
  <c r="F44" i="9"/>
  <c r="G44" i="9"/>
  <c r="B45" i="9"/>
  <c r="C45" i="9"/>
  <c r="D45" i="9"/>
  <c r="E45" i="9"/>
  <c r="F45" i="9"/>
  <c r="G45" i="9"/>
  <c r="B46" i="9"/>
  <c r="C46" i="9"/>
  <c r="D46" i="9" s="1"/>
  <c r="E46" i="9"/>
  <c r="F46" i="9"/>
  <c r="G46" i="9"/>
  <c r="B47" i="9"/>
  <c r="C47" i="9"/>
  <c r="D47" i="9" s="1"/>
  <c r="E47" i="9"/>
  <c r="F47" i="9"/>
  <c r="G47" i="9"/>
  <c r="B48" i="9"/>
  <c r="C48" i="9"/>
  <c r="D48" i="9"/>
  <c r="E48" i="9"/>
  <c r="F48" i="9"/>
  <c r="G48" i="9"/>
  <c r="B49" i="9"/>
  <c r="C49" i="9"/>
  <c r="D49" i="9"/>
  <c r="E49" i="9"/>
  <c r="F49" i="9"/>
  <c r="G49" i="9"/>
  <c r="B50" i="9"/>
  <c r="C50" i="9"/>
  <c r="D50" i="9" s="1"/>
  <c r="E50" i="9"/>
  <c r="F50" i="9"/>
  <c r="G50" i="9"/>
  <c r="B51" i="9"/>
  <c r="C51" i="9"/>
  <c r="D51" i="9" s="1"/>
  <c r="E51" i="9"/>
  <c r="F51" i="9"/>
  <c r="G51" i="9"/>
  <c r="B52" i="9"/>
  <c r="C52" i="9"/>
  <c r="D52" i="9" s="1"/>
  <c r="E52" i="9"/>
  <c r="F52" i="9"/>
  <c r="G52" i="9"/>
  <c r="B53" i="9"/>
  <c r="C53" i="9"/>
  <c r="D53" i="9"/>
  <c r="E53" i="9"/>
  <c r="F53" i="9"/>
  <c r="G53" i="9"/>
  <c r="B54" i="9"/>
  <c r="C54" i="9"/>
  <c r="D54" i="9" s="1"/>
  <c r="E54" i="9"/>
  <c r="F54" i="9"/>
  <c r="G54" i="9"/>
  <c r="B55" i="9"/>
  <c r="C55" i="9"/>
  <c r="D55" i="9" s="1"/>
  <c r="E55" i="9"/>
  <c r="F55" i="9"/>
  <c r="G55" i="9"/>
  <c r="B56" i="9"/>
  <c r="C56" i="9"/>
  <c r="D56" i="9" s="1"/>
  <c r="E56" i="9"/>
  <c r="F56" i="9"/>
  <c r="G56" i="9"/>
  <c r="B57" i="9"/>
  <c r="C57" i="9"/>
  <c r="D57" i="9"/>
  <c r="E57" i="9"/>
  <c r="F57" i="9"/>
  <c r="G57" i="9"/>
  <c r="F11" i="10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H10" i="9"/>
  <c r="K10" i="9"/>
  <c r="L10" i="9" s="1"/>
  <c r="H11" i="9"/>
  <c r="K11" i="9"/>
  <c r="L11" i="9"/>
  <c r="M11" i="9"/>
  <c r="H12" i="9"/>
  <c r="K12" i="9"/>
  <c r="L12" i="9" s="1"/>
  <c r="H13" i="9"/>
  <c r="K13" i="9"/>
  <c r="L13" i="9"/>
  <c r="M13" i="9" s="1"/>
  <c r="H14" i="9"/>
  <c r="K14" i="9"/>
  <c r="L14" i="9" s="1"/>
  <c r="H15" i="9"/>
  <c r="K15" i="9"/>
  <c r="L15" i="9" s="1"/>
  <c r="M15" i="9" s="1"/>
  <c r="H16" i="9"/>
  <c r="K16" i="9"/>
  <c r="L16" i="9" s="1"/>
  <c r="H17" i="9"/>
  <c r="K17" i="9"/>
  <c r="L17" i="9" s="1"/>
  <c r="M17" i="9" s="1"/>
  <c r="H18" i="9"/>
  <c r="K18" i="9"/>
  <c r="L18" i="9" s="1"/>
  <c r="H19" i="9"/>
  <c r="K19" i="9"/>
  <c r="L19" i="9" s="1"/>
  <c r="M19" i="9" s="1"/>
  <c r="H20" i="9"/>
  <c r="K20" i="9"/>
  <c r="L20" i="9" s="1"/>
  <c r="H21" i="9"/>
  <c r="K21" i="9"/>
  <c r="L21" i="9" s="1"/>
  <c r="M21" i="9" s="1"/>
  <c r="H22" i="9"/>
  <c r="K22" i="9"/>
  <c r="L22" i="9" s="1"/>
  <c r="H23" i="9"/>
  <c r="K23" i="9"/>
  <c r="L23" i="9"/>
  <c r="M23" i="9" s="1"/>
  <c r="H24" i="9"/>
  <c r="K24" i="9"/>
  <c r="L24" i="9" s="1"/>
  <c r="H25" i="9"/>
  <c r="K25" i="9"/>
  <c r="L25" i="9"/>
  <c r="M25" i="9" s="1"/>
  <c r="H26" i="9"/>
  <c r="K26" i="9"/>
  <c r="L26" i="9" s="1"/>
  <c r="H27" i="9"/>
  <c r="K27" i="9"/>
  <c r="L27" i="9" s="1"/>
  <c r="M27" i="9" s="1"/>
  <c r="H28" i="9"/>
  <c r="K28" i="9"/>
  <c r="L28" i="9" s="1"/>
  <c r="H29" i="9"/>
  <c r="K29" i="9"/>
  <c r="L29" i="9"/>
  <c r="M29" i="9"/>
  <c r="H30" i="9"/>
  <c r="K30" i="9"/>
  <c r="L30" i="9" s="1"/>
  <c r="H31" i="9"/>
  <c r="K31" i="9"/>
  <c r="L31" i="9" s="1"/>
  <c r="M31" i="9" s="1"/>
  <c r="H32" i="9"/>
  <c r="K32" i="9"/>
  <c r="L32" i="9" s="1"/>
  <c r="H33" i="9"/>
  <c r="K33" i="9"/>
  <c r="L33" i="9" s="1"/>
  <c r="H34" i="9"/>
  <c r="K34" i="9"/>
  <c r="L34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B4" i="7" l="1"/>
  <c r="B7" i="7"/>
  <c r="B12" i="7"/>
  <c r="B8" i="7"/>
  <c r="B5" i="7"/>
  <c r="B6" i="7" s="1"/>
  <c r="M10" i="9"/>
  <c r="M30" i="9"/>
  <c r="M12" i="9"/>
  <c r="M32" i="9"/>
  <c r="M20" i="9"/>
  <c r="M14" i="9"/>
  <c r="M28" i="9"/>
  <c r="M16" i="9"/>
  <c r="M33" i="9"/>
  <c r="M24" i="9"/>
  <c r="M18" i="9"/>
  <c r="M26" i="9"/>
  <c r="M34" i="9"/>
  <c r="M22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B10" i="7" l="1"/>
  <c r="B9" i="7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K56" i="9"/>
  <c r="L56" i="9" s="1"/>
  <c r="M56" i="9" s="1"/>
  <c r="H56" i="9"/>
  <c r="K55" i="9"/>
  <c r="L55" i="9" s="1"/>
  <c r="M55" i="9" s="1"/>
  <c r="H55" i="9"/>
  <c r="K54" i="9"/>
  <c r="L54" i="9" s="1"/>
  <c r="M54" i="9" s="1"/>
  <c r="H54" i="9"/>
  <c r="K53" i="9"/>
  <c r="L53" i="9" s="1"/>
  <c r="M53" i="9" s="1"/>
  <c r="H53" i="9"/>
  <c r="K52" i="9"/>
  <c r="L52" i="9" s="1"/>
  <c r="M52" i="9" s="1"/>
  <c r="H52" i="9"/>
  <c r="K51" i="9"/>
  <c r="L51" i="9" s="1"/>
  <c r="M51" i="9" s="1"/>
  <c r="H51" i="9"/>
  <c r="K50" i="9"/>
  <c r="L50" i="9" s="1"/>
  <c r="M50" i="9" s="1"/>
  <c r="H50" i="9"/>
  <c r="K49" i="9"/>
  <c r="L49" i="9" s="1"/>
  <c r="M49" i="9" s="1"/>
  <c r="H49" i="9"/>
  <c r="K48" i="9"/>
  <c r="L48" i="9" s="1"/>
  <c r="M48" i="9" s="1"/>
  <c r="H48" i="9"/>
  <c r="K47" i="9"/>
  <c r="L47" i="9" s="1"/>
  <c r="M47" i="9" s="1"/>
  <c r="H47" i="9"/>
  <c r="K46" i="9"/>
  <c r="L46" i="9" s="1"/>
  <c r="M46" i="9" s="1"/>
  <c r="H46" i="9"/>
  <c r="K45" i="9"/>
  <c r="L45" i="9" s="1"/>
  <c r="M45" i="9" s="1"/>
  <c r="H45" i="9"/>
  <c r="K44" i="9"/>
  <c r="L44" i="9" s="1"/>
  <c r="M44" i="9" s="1"/>
  <c r="H44" i="9"/>
  <c r="K43" i="9"/>
  <c r="L43" i="9" s="1"/>
  <c r="M43" i="9" s="1"/>
  <c r="H43" i="9"/>
  <c r="K42" i="9"/>
  <c r="L42" i="9" s="1"/>
  <c r="M42" i="9" s="1"/>
  <c r="H42" i="9"/>
  <c r="K41" i="9"/>
  <c r="L41" i="9" s="1"/>
  <c r="M41" i="9" s="1"/>
  <c r="H41" i="9"/>
  <c r="K40" i="9"/>
  <c r="L40" i="9" s="1"/>
  <c r="M40" i="9" s="1"/>
  <c r="H40" i="9"/>
  <c r="K39" i="9"/>
  <c r="L39" i="9" s="1"/>
  <c r="M39" i="9" s="1"/>
  <c r="H39" i="9"/>
  <c r="K38" i="9"/>
  <c r="L38" i="9" s="1"/>
  <c r="M38" i="9" s="1"/>
  <c r="H38" i="9"/>
  <c r="K37" i="9"/>
  <c r="L37" i="9" s="1"/>
  <c r="M37" i="9" s="1"/>
  <c r="H37" i="9"/>
  <c r="K36" i="9"/>
  <c r="L36" i="9" s="1"/>
  <c r="M36" i="9" s="1"/>
  <c r="H36" i="9"/>
  <c r="K35" i="9"/>
  <c r="L35" i="9" s="1"/>
  <c r="M35" i="9" s="1"/>
  <c r="H35" i="9"/>
  <c r="B11" i="7" l="1"/>
  <c r="B13" i="7" s="1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C9" i="7" l="1"/>
  <c r="C6" i="7"/>
  <c r="C10" i="7" s="1"/>
  <c r="C11" i="7"/>
  <c r="C13" i="7" s="1"/>
  <c r="N11" i="9"/>
  <c r="O11" i="9" s="1"/>
  <c r="N13" i="9"/>
  <c r="O13" i="9" s="1"/>
  <c r="N15" i="9"/>
  <c r="O15" i="9" s="1"/>
  <c r="N17" i="9"/>
  <c r="O17" i="9" s="1"/>
  <c r="N19" i="9"/>
  <c r="O19" i="9" s="1"/>
  <c r="N21" i="9"/>
  <c r="O21" i="9" s="1"/>
  <c r="N23" i="9"/>
  <c r="O23" i="9" s="1"/>
  <c r="N25" i="9"/>
  <c r="O25" i="9" s="1"/>
  <c r="N27" i="9"/>
  <c r="O27" i="9" s="1"/>
  <c r="N29" i="9"/>
  <c r="O29" i="9" s="1"/>
  <c r="N31" i="9"/>
  <c r="O31" i="9" s="1"/>
  <c r="N24" i="9"/>
  <c r="O24" i="9" s="1"/>
  <c r="N18" i="9"/>
  <c r="O18" i="9" s="1"/>
  <c r="N12" i="9"/>
  <c r="O12" i="9" s="1"/>
  <c r="N26" i="9"/>
  <c r="O26" i="9" s="1"/>
  <c r="N32" i="9"/>
  <c r="O32" i="9" s="1"/>
  <c r="N20" i="9"/>
  <c r="O20" i="9" s="1"/>
  <c r="N34" i="9"/>
  <c r="O34" i="9" s="1"/>
  <c r="N16" i="9"/>
  <c r="O16" i="9" s="1"/>
  <c r="N10" i="9"/>
  <c r="O10" i="9" s="1"/>
  <c r="N30" i="9"/>
  <c r="O30" i="9" s="1"/>
  <c r="N14" i="9"/>
  <c r="O14" i="9" s="1"/>
  <c r="N28" i="9"/>
  <c r="O28" i="9" s="1"/>
  <c r="N22" i="9"/>
  <c r="O22" i="9" s="1"/>
  <c r="N33" i="9"/>
  <c r="O33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3" i="7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11" i="7" l="1"/>
  <c r="F13" i="7" s="1"/>
  <c r="D15" i="7"/>
  <c r="E15" i="7" l="1"/>
  <c r="F15" i="7"/>
</calcChain>
</file>

<file path=xl/sharedStrings.xml><?xml version="1.0" encoding="utf-8"?>
<sst xmlns="http://schemas.openxmlformats.org/spreadsheetml/2006/main" count="13334" uniqueCount="5497">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</sst>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E4" sqref="E4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5488</v>
      </c>
      <c r="C2" s="42" t="str">
        <f>CONCATENATE(B2, 2025)</f>
        <v>SLCW Releve 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44386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4860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2</v>
      </c>
      <c r="D10" s="92">
        <f t="shared" ref="D10:D32" si="0">VALUE(C10)</f>
        <v>2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4" si="1">VALUE(L10)</f>
        <v>3</v>
      </c>
      <c r="N10" s="99">
        <f t="shared" ref="N10:N41" si="2">L10/$L$149</f>
        <v>1.2474012474012475E-2</v>
      </c>
      <c r="O10" s="99">
        <f t="shared" ref="O10:O34" si="3">D10*N10</f>
        <v>2.4948024948024949E-2</v>
      </c>
    </row>
    <row r="11" spans="1:15" ht="13.5" thickBot="1" x14ac:dyDescent="0.25">
      <c r="A11" s="123" t="s">
        <v>4708</v>
      </c>
      <c r="B11" s="40" t="str">
        <f>IF(LEN(VLOOKUP(A11,'Species List'!$A:$G,2,FALSE))=0,"",VLOOKUP(A11,'Species List'!$A:$G,2,FALSE))</f>
        <v>wild grape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C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1.2474012474012475E-2</v>
      </c>
      <c r="O11" s="99">
        <f t="shared" si="3"/>
        <v>2.4948024948024949E-2</v>
      </c>
    </row>
    <row r="12" spans="1:15" ht="13.5" thickBot="1" x14ac:dyDescent="0.25">
      <c r="A12" s="123" t="s">
        <v>4854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1.2474012474012475E-2</v>
      </c>
      <c r="O12" s="79">
        <f t="shared" si="3"/>
        <v>3.7422037422037424E-2</v>
      </c>
    </row>
    <row r="13" spans="1:15" ht="13.5" thickBot="1" x14ac:dyDescent="0.25">
      <c r="A13" s="123" t="s">
        <v>3651</v>
      </c>
      <c r="B13" s="40" t="str">
        <f>IF(LEN(VLOOKUP(A13,'Species List'!$A:$G,2,FALSE))=0,"",VLOOKUP(A13,'Species List'!$A:$G,2,FALSE))</f>
        <v>northern red oak</v>
      </c>
      <c r="C13" s="40">
        <f>IF(LEN(VLOOKUP(A13,'Species List'!$A:$G,3,FALSE))=0,"",VLOOKUP(A13,'Species List'!$A:$G,3,FALSE))</f>
        <v>5</v>
      </c>
      <c r="D13" s="92">
        <f t="shared" si="0"/>
        <v>5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1.2474012474012475E-2</v>
      </c>
      <c r="O13" s="91">
        <f t="shared" si="3"/>
        <v>6.2370062370062374E-2</v>
      </c>
    </row>
    <row r="14" spans="1:15" ht="26.25" thickBot="1" x14ac:dyDescent="0.25">
      <c r="A14" s="123" t="s">
        <v>2119</v>
      </c>
      <c r="B14" s="40" t="str">
        <f>IF(LEN(VLOOKUP(A14,'Species List'!$A:$G,2,FALSE))=0,"",VLOOKUP(A14,'Species List'!$A:$G,2,FALSE))</f>
        <v>green ash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1.2474012474012475E-2</v>
      </c>
      <c r="O14" s="91">
        <f t="shared" si="3"/>
        <v>2.4948024948024949E-2</v>
      </c>
    </row>
    <row r="15" spans="1:15" ht="13.5" thickBot="1" x14ac:dyDescent="0.25">
      <c r="A15" s="123" t="s">
        <v>1235</v>
      </c>
      <c r="B15" s="40" t="str">
        <f>IF(LEN(VLOOKUP(A15,'Species List'!$A:$G,2,FALSE))=0,"",VLOOKUP(A15,'Species List'!$A:$G,2,FALSE))</f>
        <v>hackberry</v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[FAC-]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1.2474012474012475E-2</v>
      </c>
      <c r="O15" s="91">
        <f t="shared" si="3"/>
        <v>3.7422037422037424E-2</v>
      </c>
    </row>
    <row r="16" spans="1:15" ht="13.5" thickBot="1" x14ac:dyDescent="0.25">
      <c r="A16" s="123" t="s">
        <v>177</v>
      </c>
      <c r="B16" s="40" t="str">
        <f>IF(LEN(VLOOKUP(A16,'Species List'!$A:$G,2,FALSE))=0,"",VLOOKUP(A16,'Species List'!$A:$G,2,FALSE))</f>
        <v>sugar maple</v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[FACU]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1.2474012474012475E-2</v>
      </c>
      <c r="O16" s="91">
        <f t="shared" si="3"/>
        <v>6.2370062370062374E-2</v>
      </c>
    </row>
    <row r="17" spans="1:15" ht="13.5" thickBot="1" x14ac:dyDescent="0.25">
      <c r="A17" s="123" t="s">
        <v>3609</v>
      </c>
      <c r="B17" s="40" t="str">
        <f>IF(LEN(VLOOKUP(A17,'Species List'!$A:$G,2,FALSE))=0,"",VLOOKUP(A17,'Species List'!$A:$G,2,FALSE))</f>
        <v>black cherry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1.2474012474012475E-2</v>
      </c>
      <c r="O17" s="91">
        <f t="shared" si="3"/>
        <v>4.9896049896049899E-2</v>
      </c>
    </row>
    <row r="18" spans="1:15" ht="13.5" thickBot="1" x14ac:dyDescent="0.25">
      <c r="A18" s="123" t="s">
        <v>4855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79">
        <f t="shared" si="2"/>
        <v>1.2474012474012475E-2</v>
      </c>
      <c r="O18" s="91">
        <f t="shared" si="3"/>
        <v>3.7422037422037424E-2</v>
      </c>
    </row>
    <row r="19" spans="1:15" ht="13.5" thickBot="1" x14ac:dyDescent="0.25">
      <c r="A19" s="123" t="s">
        <v>3611</v>
      </c>
      <c r="B19" s="40" t="str">
        <f>IF(LEN(VLOOKUP(A19,'Species List'!$A:$G,2,FALSE))=0,"",VLOOKUP(A19,'Species List'!$A:$G,2,FALSE))</f>
        <v>chokecherry</v>
      </c>
      <c r="C19" s="40">
        <f>IF(LEN(VLOOKUP(A19,'Species List'!$A:$G,3,FALSE))=0,"",VLOOKUP(A19,'Species List'!$A:$G,3,FALSE))</f>
        <v>3</v>
      </c>
      <c r="D19" s="92">
        <f t="shared" si="0"/>
        <v>3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1.2474012474012475E-2</v>
      </c>
      <c r="O19" s="91">
        <f t="shared" si="3"/>
        <v>3.7422037422037424E-2</v>
      </c>
    </row>
    <row r="20" spans="1:15" ht="26.25" thickBot="1" x14ac:dyDescent="0.25">
      <c r="A20" s="123" t="s">
        <v>4757</v>
      </c>
      <c r="B20" s="40" t="str">
        <f>IF(LEN(VLOOKUP(A20,'Species List'!$A:$G,2,FALSE))=0,"",VLOOKUP(A20,'Species List'!$A:$G,2,FALSE))</f>
        <v>prickly ash</v>
      </c>
      <c r="C20" s="40">
        <f>IF(LEN(VLOOKUP(A20,'Species List'!$A:$G,3,FALSE))=0,"",VLOOKUP(A20,'Species List'!$A:$G,3,FALSE))</f>
        <v>3</v>
      </c>
      <c r="D20" s="92">
        <f t="shared" si="0"/>
        <v>3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1.2474012474012475E-2</v>
      </c>
      <c r="O20" s="91">
        <f t="shared" si="3"/>
        <v>3.7422037422037424E-2</v>
      </c>
    </row>
    <row r="21" spans="1:15" ht="13.5" thickBot="1" x14ac:dyDescent="0.25">
      <c r="A21" s="123" t="s">
        <v>4541</v>
      </c>
      <c r="B21" s="40" t="str">
        <f>IF(LEN(VLOOKUP(A21,'Species List'!$A:$G,2,FALSE))=0,"",VLOOKUP(A21,'Species List'!$A:$G,2,FALSE))</f>
        <v>American elm</v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FACW-</v>
      </c>
      <c r="H21" s="40">
        <f>VLOOKUP(A21,'Species List'!$A:$G,7,FALSE)</f>
        <v>0</v>
      </c>
      <c r="J21" s="123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1"/>
        <v>0.5</v>
      </c>
      <c r="N21" s="79">
        <f t="shared" si="2"/>
        <v>2.0790020790020791E-3</v>
      </c>
      <c r="O21" s="91">
        <f t="shared" si="3"/>
        <v>6.2370062370062374E-3</v>
      </c>
    </row>
    <row r="22" spans="1:15" ht="13.5" thickBot="1" x14ac:dyDescent="0.25">
      <c r="A22" s="123" t="s">
        <v>1210</v>
      </c>
      <c r="B22" s="40" t="str">
        <f>IF(LEN(VLOOKUP(A22,'Species List'!$A:$G,2,FALSE))=0,"",VLOOKUP(A22,'Species List'!$A:$G,2,FALSE))</f>
        <v>bitternut hickory</v>
      </c>
      <c r="C22" s="40">
        <f>IF(LEN(VLOOKUP(A22,'Species List'!$A:$G,3,FALSE))=0,"",VLOOKUP(A22,'Species List'!$A:$G,3,FALSE))</f>
        <v>5</v>
      </c>
      <c r="D22" s="92">
        <f t="shared" si="0"/>
        <v>5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1.2474012474012475E-2</v>
      </c>
      <c r="O22" s="91">
        <f t="shared" si="3"/>
        <v>6.2370062370062374E-2</v>
      </c>
    </row>
    <row r="23" spans="1:15" ht="13.5" thickBot="1" x14ac:dyDescent="0.25">
      <c r="A23" s="123" t="s">
        <v>4855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1.2474012474012475E-2</v>
      </c>
      <c r="O23" s="91">
        <f t="shared" si="3"/>
        <v>3.7422037422037424E-2</v>
      </c>
    </row>
    <row r="24" spans="1:15" ht="26.25" thickBot="1" x14ac:dyDescent="0.25">
      <c r="A24" s="123" t="s">
        <v>4757</v>
      </c>
      <c r="B24" s="40" t="str">
        <f>IF(LEN(VLOOKUP(A24,'Species List'!$A:$G,2,FALSE))=0,"",VLOOKUP(A24,'Species List'!$A:$G,2,FALSE))</f>
        <v>prickly ash</v>
      </c>
      <c r="C24" s="40">
        <f>IF(LEN(VLOOKUP(A24,'Species List'!$A:$G,3,FALSE))=0,"",VLOOKUP(A24,'Species List'!$A:$G,3,FALSE))</f>
        <v>3</v>
      </c>
      <c r="D24" s="92">
        <f t="shared" si="0"/>
        <v>3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1.2474012474012475E-2</v>
      </c>
      <c r="O24" s="91">
        <f t="shared" si="3"/>
        <v>3.7422037422037424E-2</v>
      </c>
    </row>
    <row r="25" spans="1:15" ht="26.25" thickBot="1" x14ac:dyDescent="0.25">
      <c r="A25" s="123" t="s">
        <v>2119</v>
      </c>
      <c r="B25" s="40" t="str">
        <f>IF(LEN(VLOOKUP(A25,'Species List'!$A:$G,2,FALSE))=0,"",VLOOKUP(A25,'Species List'!$A:$G,2,FALSE))</f>
        <v>green ash</v>
      </c>
      <c r="C25" s="40">
        <f>IF(LEN(VLOOKUP(A25,'Species List'!$A:$G,3,FALSE))=0,"",VLOOKUP(A25,'Species List'!$A:$G,3,FALSE))</f>
        <v>2</v>
      </c>
      <c r="D25" s="92">
        <f t="shared" si="0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FACW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1.2474012474012475E-2</v>
      </c>
      <c r="O25" s="91">
        <f t="shared" si="3"/>
        <v>2.4948024948024949E-2</v>
      </c>
    </row>
    <row r="26" spans="1:15" ht="13.5" thickBot="1" x14ac:dyDescent="0.25">
      <c r="A26" s="123" t="s">
        <v>162</v>
      </c>
      <c r="B26" s="40" t="str">
        <f>IF(LEN(VLOOKUP(A26,'Species List'!$A:$G,2,FALSE))=0,"",VLOOKUP(A26,'Species List'!$A:$G,2,FALSE))</f>
        <v>box elder</v>
      </c>
      <c r="C26" s="40">
        <f>IF(LEN(VLOOKUP(A26,'Species List'!$A:$G,3,FALSE))=0,"",VLOOKUP(A26,'Species List'!$A:$G,3,FALSE))</f>
        <v>1</v>
      </c>
      <c r="D26" s="92">
        <f t="shared" si="0"/>
        <v>1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FACW-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1"/>
        <v>0.5</v>
      </c>
      <c r="N26" s="79">
        <f t="shared" si="2"/>
        <v>2.0790020790020791E-3</v>
      </c>
      <c r="O26" s="91">
        <f t="shared" si="3"/>
        <v>2.0790020790020791E-3</v>
      </c>
    </row>
    <row r="27" spans="1:15" ht="13.5" thickBot="1" x14ac:dyDescent="0.25">
      <c r="A27" s="123" t="s">
        <v>3710</v>
      </c>
      <c r="B27" s="40" t="str">
        <f>IF(LEN(VLOOKUP(A27,'Species List'!$A:$G,2,FALSE))=0,"",VLOOKUP(A27,'Species List'!$A:$G,2,FALSE))</f>
        <v>common buckthorn</v>
      </c>
      <c r="C27" s="40">
        <f>IF(LEN(VLOOKUP(A27,'Species List'!$A:$G,3,FALSE))=0,"",VLOOKUP(A27,'Species List'!$A:$G,3,FALSE))</f>
        <v>0</v>
      </c>
      <c r="D27" s="92">
        <f t="shared" si="0"/>
        <v>0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1"/>
        <v>3</v>
      </c>
      <c r="N27" s="79">
        <f t="shared" si="2"/>
        <v>1.2474012474012475E-2</v>
      </c>
      <c r="O27" s="91">
        <f t="shared" si="3"/>
        <v>0</v>
      </c>
    </row>
    <row r="28" spans="1:15" ht="13.5" thickBot="1" x14ac:dyDescent="0.25">
      <c r="A28" s="123" t="s">
        <v>1235</v>
      </c>
      <c r="B28" s="40" t="str">
        <f>IF(LEN(VLOOKUP(A28,'Species List'!$A:$G,2,FALSE))=0,"",VLOOKUP(A28,'Species List'!$A:$G,2,FALSE))</f>
        <v>hackberry</v>
      </c>
      <c r="C28" s="40">
        <f>IF(LEN(VLOOKUP(A28,'Species List'!$A:$G,3,FALSE))=0,"",VLOOKUP(A28,'Species List'!$A:$G,3,FALSE))</f>
        <v>3</v>
      </c>
      <c r="D28" s="92">
        <f t="shared" si="0"/>
        <v>3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[FAC-]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1.2474012474012475E-2</v>
      </c>
      <c r="O28" s="91">
        <f t="shared" si="3"/>
        <v>3.7422037422037424E-2</v>
      </c>
    </row>
    <row r="29" spans="1:15" ht="13.5" thickBot="1" x14ac:dyDescent="0.25">
      <c r="A29" s="123" t="s">
        <v>4854</v>
      </c>
      <c r="B29" s="40" t="str">
        <f>IF(LEN(VLOOKUP(A29,'Species List'!$A:$G,2,FALSE))=0,"",VLOOKUP(A29,'Species List'!$A:$G,2,FALSE))</f>
        <v/>
      </c>
      <c r="C29" s="40">
        <f>IF(LEN(VLOOKUP(A29,'Species List'!$A:$G,3,FALSE))=0,"",VLOOKUP(A29,'Species List'!$A:$G,3,FALSE))</f>
        <v>3</v>
      </c>
      <c r="D29" s="92">
        <f t="shared" si="0"/>
        <v>3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1.2474012474012475E-2</v>
      </c>
      <c r="O29" s="91">
        <f t="shared" si="3"/>
        <v>3.7422037422037424E-2</v>
      </c>
    </row>
    <row r="30" spans="1:15" ht="13.5" thickBot="1" x14ac:dyDescent="0.25">
      <c r="A30" s="123" t="s">
        <v>4541</v>
      </c>
      <c r="B30" s="40" t="str">
        <f>IF(LEN(VLOOKUP(A30,'Species List'!$A:$G,2,FALSE))=0,"",VLOOKUP(A30,'Species List'!$A:$G,2,FALSE))</f>
        <v>American elm</v>
      </c>
      <c r="C30" s="40">
        <f>IF(LEN(VLOOKUP(A30,'Species List'!$A:$G,3,FALSE))=0,"",VLOOKUP(A30,'Species List'!$A:$G,3,FALSE))</f>
        <v>3</v>
      </c>
      <c r="D30" s="92">
        <f t="shared" si="0"/>
        <v>3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FACW-</v>
      </c>
      <c r="H30" s="40">
        <f>VLOOKUP(A30,'Species List'!$A:$G,7,FALSE)</f>
        <v>0</v>
      </c>
      <c r="J30" s="123">
        <v>2</v>
      </c>
      <c r="K30" s="43" t="str">
        <f>VLOOKUP(J30,'Species List'!$H$1:$J$9,2,FALSE)</f>
        <v>&gt;5-25%</v>
      </c>
      <c r="L30" s="43">
        <f>VLOOKUP(K30,'Species List'!$I$1:$N$8,2,FALSE)</f>
        <v>15</v>
      </c>
      <c r="M30" s="93">
        <f t="shared" si="1"/>
        <v>15</v>
      </c>
      <c r="N30" s="79">
        <f t="shared" si="2"/>
        <v>6.2370062370062374E-2</v>
      </c>
      <c r="O30" s="91">
        <f t="shared" si="3"/>
        <v>0.18711018711018712</v>
      </c>
    </row>
    <row r="31" spans="1:15" ht="13.5" thickBot="1" x14ac:dyDescent="0.25">
      <c r="A31" s="123" t="s">
        <v>1235</v>
      </c>
      <c r="B31" s="40" t="str">
        <f>IF(LEN(VLOOKUP(A31,'Species List'!$A:$G,2,FALSE))=0,"",VLOOKUP(A31,'Species List'!$A:$G,2,FALSE))</f>
        <v>hackberry</v>
      </c>
      <c r="C31" s="40">
        <f>IF(LEN(VLOOKUP(A31,'Species List'!$A:$G,3,FALSE))=0,"",VLOOKUP(A31,'Species List'!$A:$G,3,FALSE))</f>
        <v>3</v>
      </c>
      <c r="D31" s="92">
        <f t="shared" si="0"/>
        <v>3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[FAC-]</v>
      </c>
      <c r="H31" s="40">
        <f>VLOOKUP(A31,'Species List'!$A:$G,7,FALSE)</f>
        <v>0</v>
      </c>
      <c r="J31" s="123">
        <v>2</v>
      </c>
      <c r="K31" s="43" t="str">
        <f>VLOOKUP(J31,'Species List'!$H$1:$J$9,2,FALSE)</f>
        <v>&gt;5-25%</v>
      </c>
      <c r="L31" s="43">
        <f>VLOOKUP(K31,'Species List'!$I$1:$N$8,2,FALSE)</f>
        <v>15</v>
      </c>
      <c r="M31" s="93">
        <f t="shared" si="1"/>
        <v>15</v>
      </c>
      <c r="N31" s="79">
        <f t="shared" si="2"/>
        <v>6.2370062370062374E-2</v>
      </c>
      <c r="O31" s="91">
        <f t="shared" si="3"/>
        <v>0.18711018711018712</v>
      </c>
    </row>
    <row r="32" spans="1:15" ht="26.25" thickBot="1" x14ac:dyDescent="0.25">
      <c r="A32" s="123" t="s">
        <v>2119</v>
      </c>
      <c r="B32" s="40" t="str">
        <f>IF(LEN(VLOOKUP(A32,'Species List'!$A:$G,2,FALSE))=0,"",VLOOKUP(A32,'Species List'!$A:$G,2,FALSE))</f>
        <v>green ash</v>
      </c>
      <c r="C32" s="40">
        <f>IF(LEN(VLOOKUP(A32,'Species List'!$A:$G,3,FALSE))=0,"",VLOOKUP(A32,'Species List'!$A:$G,3,FALSE))</f>
        <v>2</v>
      </c>
      <c r="D32" s="92">
        <f t="shared" si="0"/>
        <v>2</v>
      </c>
      <c r="E32" s="40" t="str">
        <f>IF(LEN(VLOOKUP(A32,'Species List'!$A:$G,4,FALSE))=0,"",VLOOKUP(A32,'Species List'!$A:$G,4,FALSE))</f>
        <v>D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FACW</v>
      </c>
      <c r="H32" s="40">
        <f>VLOOKUP(A32,'Species List'!$A:$G,7,FALSE)</f>
        <v>0</v>
      </c>
      <c r="J32" s="123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1"/>
        <v>0.5</v>
      </c>
      <c r="N32" s="79">
        <f t="shared" si="2"/>
        <v>2.0790020790020791E-3</v>
      </c>
      <c r="O32" s="91">
        <f t="shared" si="3"/>
        <v>4.1580041580041582E-3</v>
      </c>
    </row>
    <row r="33" spans="1:15" ht="13.5" thickBot="1" x14ac:dyDescent="0.25">
      <c r="A33" s="123" t="s">
        <v>177</v>
      </c>
      <c r="B33" s="40" t="str">
        <f>IF(LEN(VLOOKUP(A33,'Species List'!$A:$G,2,FALSE))=0,"",VLOOKUP(A33,'Species List'!$A:$G,2,FALSE))</f>
        <v>sugar maple</v>
      </c>
      <c r="C33" s="40">
        <f>IF(LEN(VLOOKUP(A33,'Species List'!$A:$G,3,FALSE))=0,"",VLOOKUP(A33,'Species List'!$A:$G,3,FALSE))</f>
        <v>5</v>
      </c>
      <c r="D33" s="92">
        <f>VALUE(C33)</f>
        <v>5</v>
      </c>
      <c r="E33" s="40" t="str">
        <f>IF(LEN(VLOOKUP(A33,'Species List'!$A:$G,4,FALSE))=0,"",VLOOKUP(A33,'Species List'!$A:$G,4,FALSE))</f>
        <v>D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[FACU]</v>
      </c>
      <c r="H33" s="40">
        <f>VLOOKUP(A33,'Species List'!$A:$G,7,FALSE)</f>
        <v>0</v>
      </c>
      <c r="J33" s="123">
        <v>2</v>
      </c>
      <c r="K33" s="43" t="str">
        <f>VLOOKUP(J33,'Species List'!$H$1:$J$9,2,FALSE)</f>
        <v>&gt;5-25%</v>
      </c>
      <c r="L33" s="43">
        <f>VLOOKUP(K33,'Species List'!$I$1:$N$8,2,FALSE)</f>
        <v>15</v>
      </c>
      <c r="M33" s="93">
        <f t="shared" si="1"/>
        <v>15</v>
      </c>
      <c r="N33" s="79">
        <f t="shared" si="2"/>
        <v>6.2370062370062374E-2</v>
      </c>
      <c r="O33" s="91">
        <f t="shared" si="3"/>
        <v>0.31185031185031187</v>
      </c>
    </row>
    <row r="34" spans="1:15" ht="13.5" thickBot="1" x14ac:dyDescent="0.25">
      <c r="A34" s="123" t="s">
        <v>4541</v>
      </c>
      <c r="B34" s="40" t="str">
        <f>IF(LEN(VLOOKUP(A34,'Species List'!$A:$G,2,FALSE))=0,"",VLOOKUP(A34,'Species List'!$A:$G,2,FALSE))</f>
        <v>American elm</v>
      </c>
      <c r="C34" s="40">
        <f>IF(LEN(VLOOKUP(A34,'Species List'!$A:$G,3,FALSE))=0,"",VLOOKUP(A34,'Species List'!$A:$G,3,FALSE))</f>
        <v>3</v>
      </c>
      <c r="D34" s="92">
        <f>VALUE(C34)</f>
        <v>3</v>
      </c>
      <c r="E34" s="40" t="str">
        <f>IF(LEN(VLOOKUP(A34,'Species List'!$A:$G,4,FALSE))=0,"",VLOOKUP(A34,'Species List'!$A:$G,4,FALSE))</f>
        <v>D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FACW-</v>
      </c>
      <c r="H34" s="40">
        <f>VLOOKUP(A34,'Species List'!$A:$G,7,FALSE)</f>
        <v>0</v>
      </c>
      <c r="J34" s="123">
        <v>2</v>
      </c>
      <c r="K34" s="43" t="str">
        <f>VLOOKUP(J34,'Species List'!$H$1:$J$9,2,FALSE)</f>
        <v>&gt;5-25%</v>
      </c>
      <c r="L34" s="43">
        <f>VLOOKUP(K34,'Species List'!$I$1:$N$8,2,FALSE)</f>
        <v>15</v>
      </c>
      <c r="M34" s="93">
        <f t="shared" si="1"/>
        <v>15</v>
      </c>
      <c r="N34" s="79">
        <f t="shared" si="2"/>
        <v>6.2370062370062374E-2</v>
      </c>
      <c r="O34" s="91">
        <f t="shared" si="3"/>
        <v>0.18711018711018712</v>
      </c>
    </row>
    <row r="35" spans="1:15" ht="13.5" thickBot="1" x14ac:dyDescent="0.25">
      <c r="A35" s="123" t="s">
        <v>1235</v>
      </c>
      <c r="B35" s="40" t="str">
        <f>IF(LEN(VLOOKUP(A35,'Species List'!$A:$G,2,FALSE))=0,"",VLOOKUP(A35,'Species List'!$A:$G,2,FALSE))</f>
        <v>hackberry</v>
      </c>
      <c r="C35" s="40">
        <f>IF(LEN(VLOOKUP(A35,'Species List'!$A:$G,3,FALSE))=0,"",VLOOKUP(A35,'Species List'!$A:$G,3,FALSE))</f>
        <v>3</v>
      </c>
      <c r="D35" s="92">
        <f t="shared" ref="D35:D74" si="4">VALUE(C35)</f>
        <v>3</v>
      </c>
      <c r="E35" s="40" t="str">
        <f>IF(LEN(VLOOKUP(A35,'Species List'!$A:$G,4,FALSE))=0,"",VLOOKUP(A35,'Species List'!$A:$G,4,FALSE))</f>
        <v>D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[FAC-]</v>
      </c>
      <c r="H35" s="40">
        <f>VLOOKUP(A35,'Species List'!$A:$G,7,FALSE)</f>
        <v>0</v>
      </c>
      <c r="J35" s="123">
        <v>3</v>
      </c>
      <c r="K35" s="43" t="str">
        <f>VLOOKUP(J35,'Species List'!$H$1:$J$9,2,FALSE)</f>
        <v>&gt;25-50%</v>
      </c>
      <c r="L35" s="43">
        <f>VLOOKUP(K35,'Species List'!$I$1:$N$8,2,FALSE)</f>
        <v>37.5</v>
      </c>
      <c r="M35" s="93">
        <f t="shared" ref="M35:M74" si="5">VALUE(L35)</f>
        <v>37.5</v>
      </c>
      <c r="N35" s="79">
        <f t="shared" si="2"/>
        <v>0.15592515592515593</v>
      </c>
      <c r="O35" s="91">
        <f t="shared" ref="O35:O74" si="6">D35*N35</f>
        <v>0.4677754677754678</v>
      </c>
    </row>
    <row r="36" spans="1:15" ht="13.5" thickBot="1" x14ac:dyDescent="0.25">
      <c r="A36" s="123" t="s">
        <v>3651</v>
      </c>
      <c r="B36" s="40" t="str">
        <f>IF(LEN(VLOOKUP(A36,'Species List'!$A:$G,2,FALSE))=0,"",VLOOKUP(A36,'Species List'!$A:$G,2,FALSE))</f>
        <v>northern red oak</v>
      </c>
      <c r="C36" s="40">
        <f>IF(LEN(VLOOKUP(A36,'Species List'!$A:$G,3,FALSE))=0,"",VLOOKUP(A36,'Species List'!$A:$G,3,FALSE))</f>
        <v>5</v>
      </c>
      <c r="D36" s="92">
        <f t="shared" si="4"/>
        <v>5</v>
      </c>
      <c r="E36" s="40" t="str">
        <f>IF(LEN(VLOOKUP(A36,'Species List'!$A:$G,4,FALSE))=0,"",VLOOKUP(A36,'Species List'!$A:$G,4,FALSE))</f>
        <v>D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FACU</v>
      </c>
      <c r="H36" s="40">
        <f>VLOOKUP(A36,'Species List'!$A:$G,7,FALSE)</f>
        <v>0</v>
      </c>
      <c r="J36" s="123">
        <v>5</v>
      </c>
      <c r="K36" s="43" t="str">
        <f>VLOOKUP(J36,'Species List'!$H$1:$J$9,2,FALSE)</f>
        <v>&gt;75-100%</v>
      </c>
      <c r="L36" s="43">
        <f>VLOOKUP(K36,'Species List'!$I$1:$N$8,2,FALSE)</f>
        <v>87.5</v>
      </c>
      <c r="M36" s="93">
        <f t="shared" si="5"/>
        <v>87.5</v>
      </c>
      <c r="N36" s="79">
        <f t="shared" si="2"/>
        <v>0.36382536382536385</v>
      </c>
      <c r="O36" s="91">
        <f t="shared" si="6"/>
        <v>1.8191268191268193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6" t="s">
        <v>4791</v>
      </c>
      <c r="J149" s="147"/>
      <c r="K149" s="148"/>
      <c r="L149" s="57">
        <f>SUMIF(L10:L148,"&gt;=0")</f>
        <v>240.5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dataValidations count="1">
    <dataValidation type="list" allowBlank="1" showInputMessage="1" showErrorMessage="1" sqref="B2" xr:uid="{82177040-6764-4CDC-97A7-9119D913E5EC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Q31" sqref="Q31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468</v>
      </c>
      <c r="B10" s="40" t="str">
        <f>IF(LEN(VLOOKUP(A10,'Species List'!$A:$G,2,FALSE))=0,"",VLOOKUP(A10,'Species List'!$A:$G,2,FALSE))</f>
        <v>Jack-in-the-pulpit</v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4.8387096774193547E-2</v>
      </c>
      <c r="O10" s="99">
        <f t="shared" ref="O10:O11" si="3">D10*N10</f>
        <v>0.19354838709677419</v>
      </c>
    </row>
    <row r="11" spans="1:15" ht="13.5" thickBot="1" x14ac:dyDescent="0.25">
      <c r="A11" s="123" t="s">
        <v>592</v>
      </c>
      <c r="B11" s="40" t="str">
        <f>IF(LEN(VLOOKUP(A11,'Species List'!$A:$G,2,FALSE))=0,"",VLOOKUP(A11,'Species List'!$A:$G,2,FALSE))</f>
        <v>lady fern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4.8387096774193547E-2</v>
      </c>
      <c r="O11" s="99">
        <f t="shared" si="3"/>
        <v>0.24193548387096775</v>
      </c>
    </row>
    <row r="12" spans="1:15" ht="13.5" thickBot="1" x14ac:dyDescent="0.25">
      <c r="A12" s="123" t="s">
        <v>2554</v>
      </c>
      <c r="B12" s="40" t="str">
        <f>IF(LEN(VLOOKUP(A12,'Species List'!$A:$G,2,FALSE))=0,"",VLOOKUP(A12,'Species List'!$A:$G,2,FALSE))</f>
        <v>woodnettle</v>
      </c>
      <c r="C12" s="40">
        <f>IF(LEN(VLOOKUP(A12,'Species List'!$A:$G,3,FALSE))=0,"",VLOOKUP(A12,'Species List'!$A:$G,3,FALSE))</f>
        <v>3</v>
      </c>
      <c r="D12" s="92">
        <f>VALUE(C12)</f>
        <v>3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0.24193548387096775</v>
      </c>
      <c r="O12" s="79">
        <f>D12*N12</f>
        <v>0.72580645161290325</v>
      </c>
    </row>
    <row r="13" spans="1:15" ht="13.5" thickBot="1" x14ac:dyDescent="0.25">
      <c r="A13" s="123" t="s">
        <v>393</v>
      </c>
      <c r="B13" s="40" t="str">
        <f>IF(LEN(VLOOKUP(A13,'Species List'!$A:$G,2,FALSE))=0,"",VLOOKUP(A13,'Species List'!$A:$G,2,FALSE))</f>
        <v>wood anemone</v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[FAC*]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4.8387096774193547E-2</v>
      </c>
      <c r="O13" s="91">
        <f t="shared" ref="O13:O75" si="6">D13*N13</f>
        <v>0.24193548387096775</v>
      </c>
    </row>
    <row r="14" spans="1:15" ht="13.5" thickBot="1" x14ac:dyDescent="0.25">
      <c r="A14" s="123" t="s">
        <v>4568</v>
      </c>
      <c r="B14" s="40" t="str">
        <f>IF(LEN(VLOOKUP(A14,'Species List'!$A:$G,2,FALSE))=0,"",VLOOKUP(A14,'Species List'!$A:$G,2,FALSE))</f>
        <v>large-flowered bellwort</v>
      </c>
      <c r="C14" s="40">
        <f>IF(LEN(VLOOKUP(A14,'Species List'!$A:$G,3,FALSE))=0,"",VLOOKUP(A14,'Species List'!$A:$G,3,FALSE))</f>
        <v>7</v>
      </c>
      <c r="D14" s="92">
        <f t="shared" si="4"/>
        <v>7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4.8387096774193547E-2</v>
      </c>
      <c r="O14" s="91">
        <f t="shared" si="6"/>
        <v>0.33870967741935482</v>
      </c>
    </row>
    <row r="15" spans="1:15" ht="13.5" thickBot="1" x14ac:dyDescent="0.25">
      <c r="A15" s="123" t="s">
        <v>2811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5</v>
      </c>
      <c r="D15" s="92">
        <f t="shared" si="4"/>
        <v>5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4.8387096774193547E-2</v>
      </c>
      <c r="O15" s="91">
        <f t="shared" si="6"/>
        <v>0.24193548387096775</v>
      </c>
    </row>
    <row r="16" spans="1:15" ht="13.5" thickBot="1" x14ac:dyDescent="0.25">
      <c r="A16" s="123" t="s">
        <v>2417</v>
      </c>
      <c r="B16" s="40" t="str">
        <f>IF(LEN(VLOOKUP(A16,'Species List'!$A:$G,2,FALSE))=0,"",VLOOKUP(A16,'Species List'!$A:$G,2,FALSE))</f>
        <v>Virginia waterleaf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FACW-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4.8387096774193547E-2</v>
      </c>
      <c r="O16" s="91">
        <f t="shared" si="6"/>
        <v>0.14516129032258063</v>
      </c>
    </row>
    <row r="17" spans="1:15" ht="13.5" thickBot="1" x14ac:dyDescent="0.25">
      <c r="A17" s="123" t="s">
        <v>1223</v>
      </c>
      <c r="B17" s="40" t="str">
        <f>IF(LEN(VLOOKUP(A17,'Species List'!$A:$G,2,FALSE))=0,"",VLOOKUP(A17,'Species List'!$A:$G,2,FALSE))</f>
        <v>blue cohosh</v>
      </c>
      <c r="C17" s="40">
        <f>IF(LEN(VLOOKUP(A17,'Species List'!$A:$G,3,FALSE))=0,"",VLOOKUP(A17,'Species List'!$A:$G,3,FALSE))</f>
        <v>8</v>
      </c>
      <c r="D17" s="92">
        <f t="shared" si="4"/>
        <v>8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4.8387096774193547E-2</v>
      </c>
      <c r="O17" s="91">
        <f t="shared" si="6"/>
        <v>0.38709677419354838</v>
      </c>
    </row>
    <row r="18" spans="1:15" ht="13.5" thickBot="1" x14ac:dyDescent="0.25">
      <c r="A18" s="123" t="s">
        <v>4857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2</v>
      </c>
      <c r="D18" s="92">
        <f t="shared" si="4"/>
        <v>2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4.8387096774193547E-2</v>
      </c>
      <c r="O18" s="91">
        <f t="shared" si="6"/>
        <v>9.6774193548387094E-2</v>
      </c>
    </row>
    <row r="19" spans="1:15" ht="13.5" thickBot="1" x14ac:dyDescent="0.25">
      <c r="A19" s="123" t="s">
        <v>2858</v>
      </c>
      <c r="B19" s="40" t="str">
        <f>IF(LEN(VLOOKUP(A19,'Species List'!$A:$G,2,FALSE))=0,"",VLOOKUP(A19,'Species List'!$A:$G,2,FALSE))</f>
        <v>Canada moonseed</v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C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FAC*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4.8387096774193547E-2</v>
      </c>
      <c r="O19" s="91">
        <f t="shared" si="6"/>
        <v>0.19354838709677419</v>
      </c>
    </row>
    <row r="20" spans="1:15" ht="13.5" thickBot="1" x14ac:dyDescent="0.25">
      <c r="A20" s="123" t="s">
        <v>3953</v>
      </c>
      <c r="B20" s="40" t="str">
        <f>IF(LEN(VLOOKUP(A20,'Species List'!$A:$G,2,FALSE))=0,"",VLOOKUP(A20,'Species List'!$A:$G,2,FALSE))</f>
        <v>bloodroot</v>
      </c>
      <c r="C20" s="40">
        <f>IF(LEN(VLOOKUP(A20,'Species List'!$A:$G,3,FALSE))=0,"",VLOOKUP(A20,'Species List'!$A:$G,3,FALSE))</f>
        <v>6</v>
      </c>
      <c r="D20" s="92">
        <f t="shared" si="4"/>
        <v>6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FACU-*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4.8387096774193547E-2</v>
      </c>
      <c r="O20" s="91">
        <f t="shared" si="6"/>
        <v>0.29032258064516125</v>
      </c>
    </row>
    <row r="21" spans="1:15" ht="13.5" thickBot="1" x14ac:dyDescent="0.25">
      <c r="A21" s="123" t="s">
        <v>4876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1</v>
      </c>
      <c r="D21" s="92">
        <f t="shared" si="4"/>
        <v>1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4.8387096774193547E-2</v>
      </c>
      <c r="O21" s="91">
        <f t="shared" si="6"/>
        <v>4.8387096774193547E-2</v>
      </c>
    </row>
    <row r="22" spans="1:15" ht="13.5" thickBot="1" x14ac:dyDescent="0.25">
      <c r="A22" s="123" t="s">
        <v>1349</v>
      </c>
      <c r="B22" s="40" t="str">
        <f>IF(LEN(VLOOKUP(A22,'Species List'!$A:$G,2,FALSE))=0,"",VLOOKUP(A22,'Species List'!$A:$G,2,FALSE))</f>
        <v>common enchanter's nightshade</v>
      </c>
      <c r="C22" s="40">
        <f>IF(LEN(VLOOKUP(A22,'Species List'!$A:$G,3,FALSE))=0,"",VLOOKUP(A22,'Species List'!$A:$G,3,FALSE))</f>
        <v>2</v>
      </c>
      <c r="D22" s="92">
        <f t="shared" si="4"/>
        <v>2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[FACU]</v>
      </c>
      <c r="H22" s="40">
        <f>VLOOKUP(A22,'Species List'!$A:$G,7,FALSE)</f>
        <v>0</v>
      </c>
      <c r="J22" s="123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4.8387096774193547E-2</v>
      </c>
      <c r="O22" s="91">
        <f t="shared" si="6"/>
        <v>9.6774193548387094E-2</v>
      </c>
    </row>
    <row r="23" spans="1:15" ht="13.5" thickBot="1" x14ac:dyDescent="0.25">
      <c r="A23" s="123" t="s">
        <v>4858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4.8387096774193547E-2</v>
      </c>
      <c r="O23" s="91">
        <f t="shared" si="6"/>
        <v>0.19354838709677419</v>
      </c>
    </row>
    <row r="24" spans="1:15" ht="13.5" thickBot="1" x14ac:dyDescent="0.25">
      <c r="A24" s="123" t="s">
        <v>201</v>
      </c>
      <c r="B24" s="40" t="str">
        <f>IF(LEN(VLOOKUP(A24,'Species List'!$A:$G,2,FALSE))=0,"",VLOOKUP(A24,'Species List'!$A:$G,2,FALSE))</f>
        <v>maidenhair fern</v>
      </c>
      <c r="C24" s="40">
        <f>IF(LEN(VLOOKUP(A24,'Species List'!$A:$G,3,FALSE))=0,"",VLOOKUP(A24,'Species List'!$A:$G,3,FALSE))</f>
        <v>7</v>
      </c>
      <c r="D24" s="92">
        <f t="shared" si="4"/>
        <v>7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FAC-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4.8387096774193547E-2</v>
      </c>
      <c r="O24" s="91">
        <f t="shared" si="6"/>
        <v>0.33870967741935482</v>
      </c>
    </row>
    <row r="25" spans="1:15" ht="13.5" thickBot="1" x14ac:dyDescent="0.25">
      <c r="A25" s="123" t="s">
        <v>4146</v>
      </c>
      <c r="B25" s="40" t="str">
        <f>IF(LEN(VLOOKUP(A25,'Species List'!$A:$G,2,FALSE))=0,"",VLOOKUP(A25,'Species List'!$A:$G,2,FALSE))</f>
        <v>greenbrier</v>
      </c>
      <c r="C25" s="40">
        <f>IF(LEN(VLOOKUP(A25,'Species List'!$A:$G,3,FALSE))=0,"",VLOOKUP(A25,'Species List'!$A:$G,3,FALSE))</f>
        <v>4</v>
      </c>
      <c r="D25" s="92">
        <f t="shared" si="4"/>
        <v>4</v>
      </c>
      <c r="E25" s="40" t="str">
        <f>IF(LEN(VLOOKUP(A25,'Species List'!$A:$G,4,FALSE))=0,"",VLOOKUP(A25,'Species List'!$A:$G,4,FALSE))</f>
        <v>C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[FAC]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4.8387096774193547E-2</v>
      </c>
      <c r="O25" s="91">
        <f t="shared" si="6"/>
        <v>0.19354838709677419</v>
      </c>
    </row>
    <row r="26" spans="1:15" ht="13.5" thickBot="1" x14ac:dyDescent="0.25">
      <c r="A26" s="123" t="s">
        <v>3091</v>
      </c>
      <c r="B26" s="40" t="str">
        <f>IF(LEN(VLOOKUP(A26,'Species List'!$A:$G,2,FALSE))=0,"",VLOOKUP(A26,'Species List'!$A:$G,2,FALSE))</f>
        <v>Clayton's sweet cicely</v>
      </c>
      <c r="C26" s="40">
        <f>IF(LEN(VLOOKUP(A26,'Species List'!$A:$G,3,FALSE))=0,"",VLOOKUP(A26,'Species List'!$A:$G,3,FALSE))</f>
        <v>3</v>
      </c>
      <c r="D26" s="92">
        <f t="shared" si="4"/>
        <v>3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FACU-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8.0645161290322578E-3</v>
      </c>
      <c r="O26" s="91">
        <f t="shared" si="6"/>
        <v>2.4193548387096774E-2</v>
      </c>
    </row>
    <row r="27" spans="1:15" ht="13.5" thickBot="1" x14ac:dyDescent="0.25">
      <c r="A27" s="123" t="s">
        <v>3662</v>
      </c>
      <c r="B27" s="40" t="str">
        <f>IF(LEN(VLOOKUP(A27,'Species List'!$A:$G,2,FALSE))=0,"",VLOOKUP(A27,'Species List'!$A:$G,2,FALSE))</f>
        <v>kidney-leaved buttercup</v>
      </c>
      <c r="C27" s="40">
        <f>IF(LEN(VLOOKUP(A27,'Species List'!$A:$G,3,FALSE))=0,"",VLOOKUP(A27,'Species List'!$A:$G,3,FALSE))</f>
        <v>1</v>
      </c>
      <c r="D27" s="92">
        <f t="shared" si="4"/>
        <v>1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FACW-</v>
      </c>
      <c r="H27" s="40">
        <f>VLOOKUP(A27,'Species List'!$A:$G,7,FALSE)</f>
        <v>0</v>
      </c>
      <c r="J27" s="123" t="s">
        <v>4824</v>
      </c>
      <c r="K27" s="43" t="str">
        <f>VLOOKUP(J27,'Species List'!$H$1:$J$9,2,FALSE)</f>
        <v>&gt;0-1%</v>
      </c>
      <c r="L27" s="43">
        <f>VLOOKUP(K27,'Species List'!$I$1:$N$8,2,FALSE)</f>
        <v>0.5</v>
      </c>
      <c r="M27" s="93">
        <f t="shared" si="5"/>
        <v>0.5</v>
      </c>
      <c r="N27" s="91">
        <f t="shared" si="2"/>
        <v>8.0645161290322578E-3</v>
      </c>
      <c r="O27" s="91">
        <f t="shared" si="6"/>
        <v>8.0645161290322578E-3</v>
      </c>
    </row>
    <row r="28" spans="1:15" ht="13.5" thickBot="1" x14ac:dyDescent="0.25">
      <c r="A28" s="123" t="s">
        <v>270</v>
      </c>
      <c r="B28" s="40" t="str">
        <f>IF(LEN(VLOOKUP(A28,'Species List'!$A:$G,2,FALSE))=0,"",VLOOKUP(A28,'Species List'!$A:$G,2,FALSE))</f>
        <v>garlic mustard</v>
      </c>
      <c r="C28" s="40">
        <f>IF(LEN(VLOOKUP(A28,'Species List'!$A:$G,3,FALSE))=0,"",VLOOKUP(A28,'Species List'!$A:$G,3,FALSE))</f>
        <v>0</v>
      </c>
      <c r="D28" s="92">
        <f t="shared" si="4"/>
        <v>0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Introduced</v>
      </c>
      <c r="G28" s="40" t="str">
        <f>IF(LEN(VLOOKUP(A28,'Species List'!$A:$G,6,FALSE))=0,"",VLOOKUP(A28,'Species List'!$A:$G,6,FALSE))</f>
        <v>FAC</v>
      </c>
      <c r="H28" s="40">
        <f>VLOOKUP(A28,'Species List'!$A:$G,7,FALSE)</f>
        <v>0</v>
      </c>
      <c r="J28" s="123" t="s">
        <v>4824</v>
      </c>
      <c r="K28" s="43" t="str">
        <f>VLOOKUP(J28,'Species List'!$H$1:$J$9,2,FALSE)</f>
        <v>&gt;0-1%</v>
      </c>
      <c r="L28" s="43">
        <f>VLOOKUP(K28,'Species List'!$I$1:$N$8,2,FALSE)</f>
        <v>0.5</v>
      </c>
      <c r="M28" s="93">
        <f t="shared" si="5"/>
        <v>0.5</v>
      </c>
      <c r="N28" s="91">
        <f t="shared" si="2"/>
        <v>8.0645161290322578E-3</v>
      </c>
      <c r="O28" s="91">
        <f t="shared" si="6"/>
        <v>0</v>
      </c>
    </row>
    <row r="29" spans="1:15" ht="13.5" thickBot="1" x14ac:dyDescent="0.25">
      <c r="A29" s="123" t="s">
        <v>1223</v>
      </c>
      <c r="B29" s="40" t="str">
        <f>IF(LEN(VLOOKUP(A29,'Species List'!$A:$G,2,FALSE))=0,"",VLOOKUP(A29,'Species List'!$A:$G,2,FALSE))</f>
        <v>blue cohosh</v>
      </c>
      <c r="C29" s="40">
        <f>IF(LEN(VLOOKUP(A29,'Species List'!$A:$G,3,FALSE))=0,"",VLOOKUP(A29,'Species List'!$A:$G,3,FALSE))</f>
        <v>8</v>
      </c>
      <c r="D29" s="92">
        <f t="shared" si="4"/>
        <v>8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>
        <f>VLOOKUP(A29,'Species List'!$A:$G,7,FALSE)</f>
        <v>0</v>
      </c>
      <c r="J29" s="123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8.0645161290322578E-3</v>
      </c>
      <c r="O29" s="91">
        <f t="shared" si="6"/>
        <v>6.4516129032258063E-2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62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915</v>
      </c>
      <c r="B10" s="40" t="str">
        <f>IF(LEN(VLOOKUP(A10,'Species List'!$A:$G,2,FALSE))=0,"",VLOOKUP(A10,'Species List'!$A:$G,2,FALSE))</f>
        <v>charming sedge</v>
      </c>
      <c r="C10" s="40">
        <f>IF(LEN(VLOOKUP(A10,'Species List'!$A:$G,3,FALSE))=0,"",VLOOKUP(A10,'Species List'!$A:$G,3,FALSE))</f>
        <v>2</v>
      </c>
      <c r="D10" s="92">
        <f t="shared" ref="D10:D26" si="0">VALUE(C10)</f>
        <v>2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99">
        <f t="shared" ref="N10:N75" si="2">L10/$L$151</f>
        <v>1</v>
      </c>
      <c r="O10" s="99">
        <f t="shared" ref="O10:O76" si="3">D10*N10</f>
        <v>2</v>
      </c>
    </row>
    <row r="11" spans="1:15" ht="13.5" thickBot="1" x14ac:dyDescent="0.25">
      <c r="A11" s="123"/>
      <c r="B11" s="40" t="e">
        <f>IF(LEN(VLOOKUP(A11,'Species List'!$A:$G,2,FALSE))=0,"",VLOOKUP(A11,'Species List'!$A:$G,2,FALSE))</f>
        <v>#N/A</v>
      </c>
      <c r="C11" s="40" t="e">
        <f>IF(LEN(VLOOKUP(A11,'Species List'!$A:$G,3,FALSE))=0,"",VLOOKUP(A11,'Species List'!$A:$G,3,FALSE))</f>
        <v>#N/A</v>
      </c>
      <c r="D11" s="92" t="e">
        <f t="shared" si="0"/>
        <v>#N/A</v>
      </c>
      <c r="E11" s="40" t="e">
        <f>IF(LEN(VLOOKUP(A11,'Species List'!$A:$G,4,FALSE))=0,"",VLOOKUP(A11,'Species List'!$A:$G,4,FALSE))</f>
        <v>#N/A</v>
      </c>
      <c r="F11" s="40" t="e">
        <f>IF(LEN(VLOOKUP(A11,'Species List'!$A:$G,5,FALSE))=0,"",VLOOKUP(A11,'Species List'!$A:$G,5,FALSE))</f>
        <v>#N/A</v>
      </c>
      <c r="G11" s="40" t="e">
        <f>IF(LEN(VLOOKUP(A11,'Species List'!$A:$G,6,FALSE))=0,"",VLOOKUP(A11,'Species List'!$A:$G,6,FALSE))</f>
        <v>#N/A</v>
      </c>
      <c r="H11" s="40" t="e">
        <f>VLOOKUP(A11,'Species List'!$A:$G,7,FALSE)</f>
        <v>#N/A</v>
      </c>
      <c r="J11" s="123"/>
      <c r="K11" s="43" t="e">
        <f>VLOOKUP(J11,'Species List'!$H$1:$J$9,2,FALSE)</f>
        <v>#N/A</v>
      </c>
      <c r="L11" s="43" t="e">
        <f>VLOOKUP(K11,'Species List'!$I$1:$N$8,2,FALSE)</f>
        <v>#N/A</v>
      </c>
      <c r="M11" s="93" t="e">
        <f t="shared" si="1"/>
        <v>#N/A</v>
      </c>
      <c r="N11" s="99" t="e">
        <f t="shared" si="2"/>
        <v>#N/A</v>
      </c>
      <c r="O11" s="99" t="e">
        <f t="shared" si="3"/>
        <v>#N/A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98" t="e">
        <f t="shared" si="2"/>
        <v>#N/A</v>
      </c>
      <c r="O12" s="98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91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3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B3F8-6F7B-4B86-B585-EEC6665FE038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5490</v>
      </c>
    </row>
    <row r="29" spans="1:1" x14ac:dyDescent="0.2">
      <c r="A29" t="s">
        <v>5491</v>
      </c>
    </row>
    <row r="30" spans="1:1" x14ac:dyDescent="0.2">
      <c r="A30" t="s">
        <v>5492</v>
      </c>
    </row>
    <row r="31" spans="1:1" x14ac:dyDescent="0.2">
      <c r="A31" t="s">
        <v>5493</v>
      </c>
    </row>
    <row r="32" spans="1:1" x14ac:dyDescent="0.2">
      <c r="A32" t="s">
        <v>5494</v>
      </c>
    </row>
    <row r="33" spans="1:1" x14ac:dyDescent="0.2">
      <c r="A33" t="s">
        <v>5495</v>
      </c>
    </row>
    <row r="34" spans="1:1" x14ac:dyDescent="0.2">
      <c r="A34" t="s">
        <v>5496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26</v>
      </c>
      <c r="C4" s="95">
        <f>COUNTIF(Forbs!$F$10:$F$147,"Native")</f>
        <v>19</v>
      </c>
      <c r="D4" s="95">
        <f>COUNTIF(Grasses!$F$10:$F$149,"Native")</f>
        <v>1</v>
      </c>
      <c r="E4" s="95">
        <f>AVERAGE(B4:D4)</f>
        <v>15.333333333333334</v>
      </c>
      <c r="F4" s="95">
        <f>SUM(B4:D4)</f>
        <v>46</v>
      </c>
    </row>
    <row r="5" spans="1:6" ht="18" x14ac:dyDescent="0.25">
      <c r="A5" s="49" t="s">
        <v>4784</v>
      </c>
      <c r="B5" s="95">
        <f>COUNTIF(Woody!$F10:$F197,"Introduced")</f>
        <v>1</v>
      </c>
      <c r="C5" s="95">
        <f>COUNTIF(Forbs!$F10:$F198,"Introduced")</f>
        <v>1</v>
      </c>
      <c r="D5" s="95">
        <f>COUNTIF(Grasses!$F10:$F199,"Introduced")</f>
        <v>0</v>
      </c>
      <c r="E5" s="95">
        <f t="shared" ref="E5:E6" si="0">AVERAGE(B5:D5)</f>
        <v>0.66666666666666663</v>
      </c>
      <c r="F5" s="95">
        <f>SUM(B5:D5)</f>
        <v>2</v>
      </c>
    </row>
    <row r="6" spans="1:6" s="75" customFormat="1" ht="21" x14ac:dyDescent="0.35">
      <c r="A6" s="49" t="s">
        <v>4826</v>
      </c>
      <c r="B6" s="95">
        <f>SUM(B4:B5)</f>
        <v>27</v>
      </c>
      <c r="C6" s="95">
        <f>SUM(C4:C5)</f>
        <v>20</v>
      </c>
      <c r="D6" s="95">
        <f>SUM(D4:D5)</f>
        <v>1</v>
      </c>
      <c r="E6" s="95">
        <f t="shared" si="0"/>
        <v>16</v>
      </c>
      <c r="F6" s="95">
        <f>SUM(B6:D6)</f>
        <v>48</v>
      </c>
    </row>
    <row r="7" spans="1:6" ht="18" x14ac:dyDescent="0.25">
      <c r="A7" s="49" t="s">
        <v>4785</v>
      </c>
      <c r="B7" s="95">
        <f>AVERAGEIF(Woody!D10:D148,"&gt;0")</f>
        <v>3.1538461538461537</v>
      </c>
      <c r="C7" s="95">
        <f>AVERAGEIF(Forbs!D10:D149,"&gt;0")</f>
        <v>4.3157894736842106</v>
      </c>
      <c r="D7" s="95">
        <f>AVERAGEIF(Grasses!D10:D150,"&gt;0")</f>
        <v>2</v>
      </c>
      <c r="E7" s="95">
        <f>AVERAGE(B7:D7)</f>
        <v>3.1565452091767878</v>
      </c>
      <c r="F7" s="95">
        <f>(SUMIF(Woody!D10:D148,"&gt;0")+SUMIF(Forbs!D10:D149,"&gt;0")+SUMIF(Grasses!D10:D150,"&gt;0"))/(COUNTIF(Woody!D10:D148,"&gt;0")+COUNTIF(Forbs!D10:D149,"&gt;0")+COUNTIF(Grasses!D10:D150,"&gt;0"))</f>
        <v>3.6086956521739131</v>
      </c>
    </row>
    <row r="8" spans="1:6" s="31" customFormat="1" ht="21" x14ac:dyDescent="0.35">
      <c r="A8" s="49" t="s">
        <v>4827</v>
      </c>
      <c r="B8" s="95">
        <f>AVERAGEIF(Woody!D10:D148,"&gt;=0")</f>
        <v>3.0370370370370372</v>
      </c>
      <c r="C8" s="95">
        <f>AVERAGEIF(Forbs!D10:D149,"&gt;=0")</f>
        <v>4.0999999999999996</v>
      </c>
      <c r="D8" s="95">
        <f>AVERAGEIF(Grasses!D10:D150,"&gt;=0")</f>
        <v>2</v>
      </c>
      <c r="E8" s="95">
        <f>AVERAGE(B8:D8)</f>
        <v>3.0456790123456785</v>
      </c>
      <c r="F8" s="95">
        <f>(SUMIF(Woody!D10:D148,"&gt;=0")+SUMIF(Forbs!D10:D149,"&gt;=0")+SUMIF(Grasses!D10:D150,"&gt;=0"))/(COUNTIF(Woody!D10:D148,"&gt;=0")+COUNTIF(Forbs!D10:D149,"&gt;=0")+COUNTIF(Grasses!D10:D150,"&gt;=0"))</f>
        <v>3.4583333333333335</v>
      </c>
    </row>
    <row r="9" spans="1:6" ht="18" x14ac:dyDescent="0.25">
      <c r="A9" s="49" t="s">
        <v>4778</v>
      </c>
      <c r="B9" s="95">
        <f>SQRT(B4)*B7</f>
        <v>16.081523081331088</v>
      </c>
      <c r="C9" s="95">
        <f>SQRT(C4)*C7</f>
        <v>18.812090177386068</v>
      </c>
      <c r="D9" s="95">
        <f>SQRT(D4)*D7</f>
        <v>2</v>
      </c>
      <c r="E9" s="95">
        <f>SQRT(E4)*E7</f>
        <v>12.360336730156112</v>
      </c>
      <c r="F9" s="95">
        <f>SQRT(F4)*F7</f>
        <v>24.475364721712925</v>
      </c>
    </row>
    <row r="10" spans="1:6" s="76" customFormat="1" ht="21" x14ac:dyDescent="0.35">
      <c r="A10" s="49" t="s">
        <v>4828</v>
      </c>
      <c r="B10" s="95">
        <f>SQRT(B6)*B8</f>
        <v>15.780907357849772</v>
      </c>
      <c r="C10" s="95">
        <f>SQRT(C6)*C8</f>
        <v>18.335757415498275</v>
      </c>
      <c r="D10" s="95">
        <f>SQRT(D6)*D8</f>
        <v>2</v>
      </c>
      <c r="E10" s="95">
        <f>SQRT(E6)*E8</f>
        <v>12.182716049382714</v>
      </c>
      <c r="F10" s="95">
        <f>SQRT(F6)*F8</f>
        <v>23.96003617136947</v>
      </c>
    </row>
    <row r="11" spans="1:6" ht="18" x14ac:dyDescent="0.25">
      <c r="A11" s="49" t="s">
        <v>4786</v>
      </c>
      <c r="B11" s="95">
        <f>SUMIF(Woody!$M$10:$M$148,"&gt;=0")</f>
        <v>240.5</v>
      </c>
      <c r="C11" s="95">
        <f>SUMIF(Forbs!$M$10:$M$150,"&gt;=0")</f>
        <v>62</v>
      </c>
      <c r="D11" s="95">
        <f>SUMIF(Grasses!$M$10:$M$150,"&gt;=0")</f>
        <v>3</v>
      </c>
      <c r="E11" s="95">
        <f>AVERAGE(B11:D11)</f>
        <v>101.83333333333333</v>
      </c>
      <c r="F11" s="95">
        <f>SUM(B11:D11)</f>
        <v>305.5</v>
      </c>
    </row>
    <row r="12" spans="1:6" ht="18" x14ac:dyDescent="0.25">
      <c r="A12" s="49" t="s">
        <v>4792</v>
      </c>
      <c r="B12" s="95">
        <f>SUMIF(Woody!$F$10:$F$148,"Introduced",Woody!$L$10:$L$148)</f>
        <v>3</v>
      </c>
      <c r="C12" s="95">
        <f>SUMIF(Forbs!$F$10:$F$150,"Introduced",Forbs!$L$10:$L$150)</f>
        <v>0.5</v>
      </c>
      <c r="D12" s="95">
        <f>SUMIF(Grasses!$F$10:$F$150,"Introduced",Grasses!$L$10:$L$150)</f>
        <v>0</v>
      </c>
      <c r="E12" s="95">
        <f>AVERAGE(B12:D12)</f>
        <v>1.1666666666666667</v>
      </c>
      <c r="F12" s="95">
        <f>SUM(B12:D12)</f>
        <v>3.5</v>
      </c>
    </row>
    <row r="13" spans="1:6" ht="18.75" thickBot="1" x14ac:dyDescent="0.3">
      <c r="A13" s="50" t="s">
        <v>4787</v>
      </c>
      <c r="B13" s="96">
        <f>B12/B11</f>
        <v>1.2474012474012475E-2</v>
      </c>
      <c r="C13" s="96">
        <f>C12/C11</f>
        <v>8.0645161290322578E-3</v>
      </c>
      <c r="D13" s="96">
        <f>D12/D11</f>
        <v>0</v>
      </c>
      <c r="E13" s="96">
        <f>E12/E11</f>
        <v>1.1456628477905075E-2</v>
      </c>
      <c r="F13" s="96">
        <f>F12/F11</f>
        <v>1.1456628477905073E-2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3.8461538461538467</v>
      </c>
      <c r="C15" s="94">
        <f>SUMIF(Forbs!$O$10:$O$149,"&gt;=0")</f>
        <v>4.064516129032258</v>
      </c>
      <c r="D15" s="94">
        <f>SUMIF(Grasses!$O$10:$O$150,"&gt;=0")</f>
        <v>2</v>
      </c>
      <c r="E15" s="94">
        <f>AVERAGE(B15:D15)</f>
        <v>3.3035566583953684</v>
      </c>
      <c r="F15" s="95">
        <f>SUM(B15:D15)</f>
        <v>9.9106699751861047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2025-11-24T17:01:06Z</dcterms:modified>
</cp:coreProperties>
</file>