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5D1B9AC5-8B37-4535-BC70-4311EF96C580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F11" i="10"/>
  <c r="F18" i="6"/>
  <c r="F19" i="6"/>
  <c r="F20" i="6"/>
  <c r="F21" i="6"/>
  <c r="F22" i="6"/>
  <c r="F23" i="6"/>
  <c r="F24" i="6"/>
  <c r="F25" i="6"/>
  <c r="D18" i="6"/>
  <c r="D19" i="6"/>
  <c r="D20" i="6"/>
  <c r="D21" i="6"/>
  <c r="D22" i="6"/>
  <c r="D23" i="6"/>
  <c r="D24" i="6"/>
  <c r="D25" i="6"/>
  <c r="D26" i="6"/>
  <c r="D48" i="10"/>
  <c r="D53" i="10"/>
  <c r="B19" i="9"/>
  <c r="C19" i="9"/>
  <c r="D19" i="9" s="1"/>
  <c r="E19" i="9"/>
  <c r="F19" i="9"/>
  <c r="G19" i="9"/>
  <c r="H19" i="9"/>
  <c r="K19" i="9"/>
  <c r="L19" i="9" s="1"/>
  <c r="B16" i="9"/>
  <c r="C16" i="9"/>
  <c r="D16" i="9" s="1"/>
  <c r="E16" i="9"/>
  <c r="F16" i="9"/>
  <c r="G16" i="9"/>
  <c r="H16" i="9"/>
  <c r="K16" i="9"/>
  <c r="L16" i="9" s="1"/>
  <c r="M16" i="9" s="1"/>
  <c r="B29" i="9"/>
  <c r="C29" i="9"/>
  <c r="D29" i="9" s="1"/>
  <c r="E29" i="9"/>
  <c r="F29" i="9"/>
  <c r="G29" i="9"/>
  <c r="H29" i="9"/>
  <c r="K29" i="9"/>
  <c r="L29" i="9" s="1"/>
  <c r="B18" i="9"/>
  <c r="C18" i="9"/>
  <c r="D18" i="9" s="1"/>
  <c r="E18" i="9"/>
  <c r="F18" i="9"/>
  <c r="G18" i="9"/>
  <c r="H18" i="9"/>
  <c r="K18" i="9"/>
  <c r="L18" i="9" s="1"/>
  <c r="M18" i="9" s="1"/>
  <c r="B27" i="9"/>
  <c r="C27" i="9"/>
  <c r="E27" i="9"/>
  <c r="F27" i="9"/>
  <c r="G27" i="9"/>
  <c r="H27" i="9"/>
  <c r="K27" i="9"/>
  <c r="L27" i="9" s="1"/>
  <c r="B11" i="9"/>
  <c r="C11" i="9"/>
  <c r="D11" i="9" s="1"/>
  <c r="E11" i="9"/>
  <c r="F11" i="9"/>
  <c r="G11" i="9"/>
  <c r="H11" i="9"/>
  <c r="K11" i="9"/>
  <c r="L11" i="9" s="1"/>
  <c r="M11" i="9" s="1"/>
  <c r="B28" i="9"/>
  <c r="C28" i="9"/>
  <c r="D28" i="9" s="1"/>
  <c r="E28" i="9"/>
  <c r="F28" i="9"/>
  <c r="G28" i="9"/>
  <c r="H28" i="9"/>
  <c r="K28" i="9"/>
  <c r="L28" i="9" s="1"/>
  <c r="B22" i="9"/>
  <c r="C22" i="9"/>
  <c r="D22" i="9" s="1"/>
  <c r="E22" i="9"/>
  <c r="F22" i="9"/>
  <c r="G22" i="9"/>
  <c r="H22" i="9"/>
  <c r="K22" i="9"/>
  <c r="L22" i="9" s="1"/>
  <c r="M22" i="9" s="1"/>
  <c r="B14" i="9"/>
  <c r="C14" i="9"/>
  <c r="D14" i="9" s="1"/>
  <c r="E14" i="9"/>
  <c r="F14" i="9"/>
  <c r="G14" i="9"/>
  <c r="H14" i="9"/>
  <c r="K14" i="9"/>
  <c r="L14" i="9" s="1"/>
  <c r="B23" i="9"/>
  <c r="C23" i="9"/>
  <c r="D23" i="9" s="1"/>
  <c r="E23" i="9"/>
  <c r="F23" i="9"/>
  <c r="G23" i="9"/>
  <c r="H23" i="9"/>
  <c r="K23" i="9"/>
  <c r="L23" i="9" s="1"/>
  <c r="M23" i="9" s="1"/>
  <c r="B20" i="9"/>
  <c r="C20" i="9"/>
  <c r="D20" i="9" s="1"/>
  <c r="E20" i="9"/>
  <c r="F20" i="9"/>
  <c r="G20" i="9"/>
  <c r="H20" i="9"/>
  <c r="K20" i="9"/>
  <c r="L20" i="9" s="1"/>
  <c r="M20" i="9" s="1"/>
  <c r="B24" i="9"/>
  <c r="C24" i="9"/>
  <c r="D24" i="9" s="1"/>
  <c r="E24" i="9"/>
  <c r="F24" i="9"/>
  <c r="G24" i="9"/>
  <c r="H24" i="9"/>
  <c r="K24" i="9"/>
  <c r="L24" i="9" s="1"/>
  <c r="M24" i="9" s="1"/>
  <c r="B13" i="9"/>
  <c r="C13" i="9"/>
  <c r="D13" i="9" s="1"/>
  <c r="E13" i="9"/>
  <c r="F13" i="9"/>
  <c r="G13" i="9"/>
  <c r="H13" i="9"/>
  <c r="K13" i="9"/>
  <c r="L13" i="9" s="1"/>
  <c r="B21" i="9"/>
  <c r="C21" i="9"/>
  <c r="D21" i="9" s="1"/>
  <c r="E21" i="9"/>
  <c r="F21" i="9"/>
  <c r="G21" i="9"/>
  <c r="H21" i="9"/>
  <c r="K21" i="9"/>
  <c r="L21" i="9" s="1"/>
  <c r="M21" i="9" s="1"/>
  <c r="B17" i="9"/>
  <c r="C17" i="9"/>
  <c r="D17" i="9" s="1"/>
  <c r="E17" i="9"/>
  <c r="F17" i="9"/>
  <c r="G17" i="9"/>
  <c r="H17" i="9"/>
  <c r="K17" i="9"/>
  <c r="L17" i="9" s="1"/>
  <c r="B12" i="9"/>
  <c r="C12" i="9"/>
  <c r="D12" i="9" s="1"/>
  <c r="E12" i="9"/>
  <c r="F12" i="9"/>
  <c r="G12" i="9"/>
  <c r="H12" i="9"/>
  <c r="K12" i="9"/>
  <c r="L12" i="9"/>
  <c r="M12" i="9"/>
  <c r="B15" i="9"/>
  <c r="C15" i="9"/>
  <c r="D15" i="9" s="1"/>
  <c r="E15" i="9"/>
  <c r="F15" i="9"/>
  <c r="G15" i="9"/>
  <c r="H15" i="9"/>
  <c r="K15" i="9"/>
  <c r="L15" i="9" s="1"/>
  <c r="B26" i="9"/>
  <c r="C26" i="9"/>
  <c r="D26" i="9" s="1"/>
  <c r="E26" i="9"/>
  <c r="F26" i="9"/>
  <c r="G26" i="9"/>
  <c r="H26" i="9"/>
  <c r="K26" i="9"/>
  <c r="L26" i="9" s="1"/>
  <c r="E19" i="10"/>
  <c r="F19" i="10"/>
  <c r="F17" i="10"/>
  <c r="E17" i="10"/>
  <c r="C19" i="10"/>
  <c r="C17" i="10"/>
  <c r="F12" i="6"/>
  <c r="E12" i="6"/>
  <c r="C12" i="6"/>
  <c r="E13" i="10"/>
  <c r="C13" i="10"/>
  <c r="K10" i="10"/>
  <c r="M19" i="9" l="1"/>
  <c r="M17" i="9"/>
  <c r="M29" i="9"/>
  <c r="M15" i="9"/>
  <c r="M13" i="9"/>
  <c r="M27" i="9"/>
  <c r="M28" i="9"/>
  <c r="M26" i="9"/>
  <c r="M14" i="9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D11" i="10" s="1"/>
  <c r="B10" i="10"/>
  <c r="B11" i="10"/>
  <c r="M11" i="6" l="1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6" l="1"/>
  <c r="D17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25" i="10"/>
  <c r="D26" i="10"/>
  <c r="D27" i="10"/>
  <c r="D28" i="10"/>
  <c r="D29" i="10"/>
  <c r="D31" i="10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10" i="9"/>
  <c r="L10" i="9" s="1"/>
  <c r="M10" i="9" s="1"/>
  <c r="H10" i="9"/>
  <c r="G10" i="9"/>
  <c r="F10" i="9"/>
  <c r="E10" i="9"/>
  <c r="C10" i="9"/>
  <c r="D10" i="9" s="1"/>
  <c r="B10" i="9"/>
  <c r="K25" i="9"/>
  <c r="L25" i="9" s="1"/>
  <c r="M25" i="9" s="1"/>
  <c r="H25" i="9"/>
  <c r="G25" i="9"/>
  <c r="F25" i="9"/>
  <c r="E25" i="9"/>
  <c r="C25" i="9"/>
  <c r="D25" i="9" s="1"/>
  <c r="B25" i="9"/>
  <c r="B12" i="7" l="1"/>
  <c r="B11" i="7"/>
  <c r="B7" i="7"/>
  <c r="B8" i="7"/>
  <c r="B4" i="7"/>
  <c r="B5" i="7"/>
  <c r="C7" i="7"/>
  <c r="C8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2" i="9"/>
  <c r="B6" i="7" l="1"/>
  <c r="B10" i="7"/>
  <c r="B9" i="7"/>
  <c r="B13" i="7"/>
  <c r="C9" i="7"/>
  <c r="C6" i="7"/>
  <c r="C10" i="7" s="1"/>
  <c r="C11" i="7"/>
  <c r="C13" i="7" s="1"/>
  <c r="N16" i="9"/>
  <c r="O16" i="9" s="1"/>
  <c r="N18" i="9"/>
  <c r="O18" i="9" s="1"/>
  <c r="N11" i="9"/>
  <c r="O11" i="9" s="1"/>
  <c r="N22" i="9"/>
  <c r="O22" i="9" s="1"/>
  <c r="N23" i="9"/>
  <c r="O23" i="9" s="1"/>
  <c r="N20" i="9"/>
  <c r="O20" i="9" s="1"/>
  <c r="N24" i="9"/>
  <c r="O24" i="9" s="1"/>
  <c r="N21" i="9"/>
  <c r="O21" i="9" s="1"/>
  <c r="N12" i="9"/>
  <c r="O12" i="9" s="1"/>
  <c r="N28" i="9"/>
  <c r="O28" i="9" s="1"/>
  <c r="N29" i="9"/>
  <c r="O29" i="9" s="1"/>
  <c r="N15" i="9"/>
  <c r="O15" i="9" s="1"/>
  <c r="N26" i="9"/>
  <c r="O26" i="9" s="1"/>
  <c r="N27" i="9"/>
  <c r="O27" i="9" s="1"/>
  <c r="N19" i="9"/>
  <c r="O19" i="9" s="1"/>
  <c r="N17" i="9"/>
  <c r="O17" i="9" s="1"/>
  <c r="N13" i="9"/>
  <c r="O13" i="9" s="1"/>
  <c r="N14" i="9"/>
  <c r="O14" i="9" s="1"/>
  <c r="N18" i="10"/>
  <c r="O18" i="10" s="1"/>
  <c r="N11" i="10"/>
  <c r="O11" i="10" s="1"/>
  <c r="N10" i="10"/>
  <c r="O10" i="10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N16" i="10"/>
  <c r="O16" i="10" s="1"/>
  <c r="N13" i="10"/>
  <c r="O13" i="10" s="1"/>
  <c r="N57" i="9"/>
  <c r="O57" i="9" s="1"/>
  <c r="N134" i="9"/>
  <c r="O134" i="9" s="1"/>
  <c r="N111" i="9"/>
  <c r="O111" i="9" s="1"/>
  <c r="N139" i="9"/>
  <c r="O139" i="9" s="1"/>
  <c r="N100" i="9"/>
  <c r="O100" i="9" s="1"/>
  <c r="N46" i="9"/>
  <c r="O46" i="9" s="1"/>
  <c r="N123" i="9"/>
  <c r="O123" i="9" s="1"/>
  <c r="N135" i="9"/>
  <c r="O135" i="9" s="1"/>
  <c r="N93" i="9"/>
  <c r="O93" i="9" s="1"/>
  <c r="N137" i="9"/>
  <c r="O137" i="9" s="1"/>
  <c r="N96" i="9"/>
  <c r="O96" i="9" s="1"/>
  <c r="N119" i="9"/>
  <c r="O119" i="9" s="1"/>
  <c r="N66" i="9"/>
  <c r="O66" i="9" s="1"/>
  <c r="N58" i="9"/>
  <c r="O58" i="9" s="1"/>
  <c r="N115" i="9"/>
  <c r="O115" i="9" s="1"/>
  <c r="N70" i="9"/>
  <c r="O70" i="9" s="1"/>
  <c r="N73" i="9"/>
  <c r="O73" i="9" s="1"/>
  <c r="N107" i="9"/>
  <c r="O107" i="9" s="1"/>
  <c r="N140" i="9"/>
  <c r="O140" i="9" s="1"/>
  <c r="N112" i="9"/>
  <c r="O112" i="9" s="1"/>
  <c r="N82" i="9"/>
  <c r="O82" i="9" s="1"/>
  <c r="N127" i="9"/>
  <c r="O127" i="9" s="1"/>
  <c r="N62" i="9"/>
  <c r="O62" i="9" s="1"/>
  <c r="N53" i="9"/>
  <c r="O53" i="9" s="1"/>
  <c r="N98" i="9"/>
  <c r="O98" i="9" s="1"/>
  <c r="N131" i="9"/>
  <c r="O131" i="9" s="1"/>
  <c r="N56" i="9"/>
  <c r="O56" i="9" s="1"/>
  <c r="N48" i="9"/>
  <c r="O48" i="9" s="1"/>
  <c r="N141" i="9"/>
  <c r="O141" i="9" s="1"/>
  <c r="N89" i="9"/>
  <c r="O89" i="9" s="1"/>
  <c r="N102" i="9"/>
  <c r="O102" i="9" s="1"/>
  <c r="N114" i="9"/>
  <c r="O114" i="9" s="1"/>
  <c r="N38" i="9"/>
  <c r="O38" i="9" s="1"/>
  <c r="N72" i="9"/>
  <c r="O72" i="9" s="1"/>
  <c r="N42" i="9"/>
  <c r="O42" i="9" s="1"/>
  <c r="N85" i="9"/>
  <c r="O85" i="9" s="1"/>
  <c r="N86" i="9"/>
  <c r="O86" i="9" s="1"/>
  <c r="N34" i="9"/>
  <c r="O34" i="9" s="1"/>
  <c r="N104" i="9"/>
  <c r="O104" i="9" s="1"/>
  <c r="N33" i="9"/>
  <c r="O33" i="9" s="1"/>
  <c r="N124" i="9"/>
  <c r="O124" i="9" s="1"/>
  <c r="N78" i="9"/>
  <c r="O78" i="9" s="1"/>
  <c r="N90" i="9"/>
  <c r="O90" i="9" s="1"/>
  <c r="N61" i="9"/>
  <c r="O61" i="9" s="1"/>
  <c r="N52" i="9"/>
  <c r="O52" i="9" s="1"/>
  <c r="N120" i="9"/>
  <c r="O120" i="9" s="1"/>
  <c r="N68" i="9"/>
  <c r="O68" i="9" s="1"/>
  <c r="N80" i="9"/>
  <c r="O80" i="9" s="1"/>
  <c r="N103" i="9"/>
  <c r="O103" i="9" s="1"/>
  <c r="N126" i="9"/>
  <c r="O126" i="9" s="1"/>
  <c r="N50" i="9"/>
  <c r="O50" i="9" s="1"/>
  <c r="N41" i="9"/>
  <c r="O41" i="9" s="1"/>
  <c r="N138" i="9"/>
  <c r="O138" i="9" s="1"/>
  <c r="N64" i="9"/>
  <c r="O64" i="9" s="1"/>
  <c r="N65" i="9"/>
  <c r="O65" i="9" s="1"/>
  <c r="N37" i="9"/>
  <c r="O37" i="9" s="1"/>
  <c r="N110" i="9"/>
  <c r="O110" i="9" s="1"/>
  <c r="N25" i="9"/>
  <c r="O25" i="9" s="1"/>
  <c r="N81" i="9"/>
  <c r="O81" i="9" s="1"/>
  <c r="N30" i="9"/>
  <c r="O30" i="9" s="1"/>
  <c r="N130" i="9"/>
  <c r="O130" i="9" s="1"/>
  <c r="N88" i="9"/>
  <c r="O88" i="9" s="1"/>
  <c r="N36" i="9"/>
  <c r="O36" i="9" s="1"/>
  <c r="N49" i="9"/>
  <c r="O49" i="9" s="1"/>
  <c r="N132" i="9"/>
  <c r="O132" i="9" s="1"/>
  <c r="N106" i="9"/>
  <c r="O106" i="9" s="1"/>
  <c r="N122" i="9"/>
  <c r="O122" i="9" s="1"/>
  <c r="N69" i="9"/>
  <c r="O69" i="9" s="1"/>
  <c r="N92" i="9"/>
  <c r="O92" i="9" s="1"/>
  <c r="N40" i="9"/>
  <c r="O40" i="9" s="1"/>
  <c r="N94" i="9"/>
  <c r="O94" i="9" s="1"/>
  <c r="N128" i="9"/>
  <c r="O128" i="9" s="1"/>
  <c r="N32" i="9"/>
  <c r="O32" i="9" s="1"/>
  <c r="N54" i="9"/>
  <c r="O54" i="9" s="1"/>
  <c r="N99" i="9"/>
  <c r="O99" i="9" s="1"/>
  <c r="N118" i="9"/>
  <c r="O118" i="9" s="1"/>
  <c r="N74" i="9"/>
  <c r="O74" i="9" s="1"/>
  <c r="N44" i="9"/>
  <c r="O44" i="9" s="1"/>
  <c r="N45" i="9"/>
  <c r="O45" i="9" s="1"/>
  <c r="N60" i="9"/>
  <c r="O60" i="9" s="1"/>
  <c r="N136" i="9"/>
  <c r="O136" i="9" s="1"/>
  <c r="N10" i="9"/>
  <c r="O10" i="9" s="1"/>
  <c r="N116" i="9"/>
  <c r="O116" i="9" s="1"/>
  <c r="N84" i="9"/>
  <c r="O84" i="9" s="1"/>
  <c r="N108" i="9"/>
  <c r="O108" i="9" s="1"/>
  <c r="N76" i="9"/>
  <c r="O76" i="9" s="1"/>
  <c r="N77" i="9"/>
  <c r="O77" i="9" s="1"/>
  <c r="N133" i="9"/>
  <c r="O133" i="9" s="1"/>
  <c r="N129" i="9"/>
  <c r="O129" i="9" s="1"/>
  <c r="N125" i="9"/>
  <c r="O125" i="9" s="1"/>
  <c r="N121" i="9"/>
  <c r="O121" i="9" s="1"/>
  <c r="N117" i="9"/>
  <c r="O117" i="9" s="1"/>
  <c r="N113" i="9"/>
  <c r="O113" i="9" s="1"/>
  <c r="N109" i="9"/>
  <c r="O109" i="9" s="1"/>
  <c r="N105" i="9"/>
  <c r="O105" i="9" s="1"/>
  <c r="N101" i="9"/>
  <c r="O101" i="9" s="1"/>
  <c r="N97" i="9"/>
  <c r="O97" i="9" s="1"/>
  <c r="N95" i="9"/>
  <c r="O95" i="9" s="1"/>
  <c r="N91" i="9"/>
  <c r="O91" i="9" s="1"/>
  <c r="N87" i="9"/>
  <c r="O87" i="9" s="1"/>
  <c r="N83" i="9"/>
  <c r="O83" i="9" s="1"/>
  <c r="N79" i="9"/>
  <c r="O79" i="9" s="1"/>
  <c r="N75" i="9"/>
  <c r="O75" i="9" s="1"/>
  <c r="N71" i="9"/>
  <c r="O71" i="9" s="1"/>
  <c r="N67" i="9"/>
  <c r="O67" i="9" s="1"/>
  <c r="N63" i="9"/>
  <c r="O63" i="9" s="1"/>
  <c r="N59" i="9"/>
  <c r="O59" i="9" s="1"/>
  <c r="N55" i="9"/>
  <c r="O55" i="9" s="1"/>
  <c r="N51" i="9"/>
  <c r="O51" i="9" s="1"/>
  <c r="N47" i="9"/>
  <c r="O47" i="9" s="1"/>
  <c r="N43" i="9"/>
  <c r="O43" i="9" s="1"/>
  <c r="N39" i="9"/>
  <c r="O39" i="9" s="1"/>
  <c r="N35" i="9"/>
  <c r="O35" i="9" s="1"/>
  <c r="N31" i="9"/>
  <c r="O31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C23" i="6"/>
  <c r="C24" i="6"/>
  <c r="C25" i="6"/>
  <c r="C26" i="6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21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B15" i="7" l="1"/>
  <c r="C15" i="7"/>
  <c r="D5" i="7"/>
  <c r="D12" i="7"/>
  <c r="D4" i="7"/>
  <c r="D8" i="7"/>
  <c r="E8" i="7" s="1"/>
  <c r="D7" i="7"/>
  <c r="E7" i="7" s="1"/>
  <c r="F8" i="7"/>
  <c r="F7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9" i="7" l="1"/>
  <c r="D6" i="7"/>
  <c r="F4" i="7"/>
  <c r="F9" i="7" s="1"/>
  <c r="E4" i="7"/>
  <c r="E9" i="7" s="1"/>
  <c r="E12" i="7"/>
  <c r="F12" i="7"/>
  <c r="E5" i="7"/>
  <c r="F5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L151" i="6"/>
  <c r="D11" i="7" l="1"/>
  <c r="E11" i="7" s="1"/>
  <c r="E13" i="7" s="1"/>
  <c r="D10" i="7"/>
  <c r="E6" i="7"/>
  <c r="E10" i="7" s="1"/>
  <c r="F6" i="7"/>
  <c r="F10" i="7" s="1"/>
  <c r="N11" i="6"/>
  <c r="O11" i="6" s="1"/>
  <c r="N10" i="6"/>
  <c r="O10" i="6" s="1"/>
  <c r="N17" i="6"/>
  <c r="O17" i="6" s="1"/>
  <c r="N12" i="6"/>
  <c r="O12" i="6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D13" i="7" l="1"/>
  <c r="F11" i="7"/>
  <c r="F13" i="7" s="1"/>
  <c r="D15" i="7"/>
  <c r="E15" i="7" l="1"/>
  <c r="F15" i="7"/>
</calcChain>
</file>

<file path=xl/sharedStrings.xml><?xml version="1.0" encoding="utf-8"?>
<sst xmlns="http://schemas.openxmlformats.org/spreadsheetml/2006/main" count="13331" uniqueCount="5499">
  <si>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</si>
  <si>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</si>
  <si>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</si>
  <si>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</si>
  <si>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</si>
  <si>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</si>
  <si>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</si>
  <si>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</si>
  <si>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</si>
  <si>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</si>
  <si>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</si>
  <si>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</si>
  <si>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</si>
  <si>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</si>
  <si>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</si>
  <si>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</si>
  <si>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</si>
  <si>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</si>
  <si>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</si>
  <si>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</si>
  <si>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</si>
  <si>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</si>
  <si>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</si>
  <si>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</si>
  <si>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</si>
  <si>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</si>
  <si>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</si>
  <si>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</si>
  <si>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</si>
  <si>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</si>
  <si>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</si>
  <si>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</si>
  <si>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</si>
  <si>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</si>
  <si>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</si>
  <si>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</si>
  <si>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</si>
  <si>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</si>
  <si>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</si>
  <si>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</si>
  <si>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</si>
  <si>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</si>
  <si>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</si>
  <si>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</si>
  <si>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</si>
  <si>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</si>
  <si>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</si>
  <si>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</si>
  <si>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</si>
  <si>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</si>
  <si>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</si>
  <si>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</si>
  <si>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</si>
  <si>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</si>
  <si>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</si>
  <si>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</si>
  <si>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</si>
  <si>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</si>
  <si>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</si>
  <si>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</si>
  <si>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</si>
  <si>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</si>
  <si>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</si>
  <si>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</si>
  <si>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</si>
  <si>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</si>
  <si>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</si>
  <si>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</si>
  <si>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</si>
  <si>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</si>
  <si>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</si>
  <si>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</si>
  <si>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</si>
  <si>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</si>
  <si>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</si>
  <si>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</si>
  <si>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</si>
  <si>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</si>
  <si>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</si>
  <si>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</si>
  <si>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</si>
  <si>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</si>
  <si>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</si>
  <si>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</si>
  <si>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</si>
  <si>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</si>
  <si>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</si>
  <si>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</si>
  <si>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</si>
  <si>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</si>
  <si>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</si>
  <si>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</si>
  <si>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</si>
  <si>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</si>
  <si>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</si>
  <si>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</si>
  <si>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</si>
  <si>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</si>
  <si>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</si>
  <si>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</si>
  <si>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</si>
  <si>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</si>
  <si>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</si>
  <si>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</si>
  <si>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</si>
  <si>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</si>
  <si>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</si>
  <si>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</si>
  <si>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</si>
  <si>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</si>
  <si>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</si>
  <si>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</si>
  <si>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</si>
  <si>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</si>
  <si>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</si>
  <si>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</si>
  <si>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</si>
  <si>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</si>
  <si>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</si>
  <si>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</si>
  <si>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</si>
  <si>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</si>
  <si>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</si>
  <si>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</si>
  <si>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</si>
  <si>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</si>
  <si>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</si>
  <si>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</si>
  <si>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</si>
  <si>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</si>
  <si>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</si>
  <si>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</si>
  <si>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</si>
  <si>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</si>
  <si>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</si>
  <si>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</si>
  <si>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</si>
  <si>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</si>
  <si>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</si>
  <si>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</si>
  <si>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</si>
  <si>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</si>
  <si>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</si>
  <si>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</si>
  <si>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</si>
  <si>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</si>
  <si>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</si>
  <si>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</si>
  <si>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</si>
  <si>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</si>
  <si>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</si>
  <si>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</si>
  <si>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</si>
  <si>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</si>
  <si>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</si>
  <si>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</si>
  <si>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</si>
  <si>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</si>
  <si>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</si>
  <si>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</si>
  <si>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</si>
  <si>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</si>
  <si>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</si>
  <si>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</si>
  <si>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</si>
  <si>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</si>
  <si>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</si>
  <si>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</si>
  <si>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</si>
  <si>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</si>
  <si>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</si>
  <si>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</si>
  <si>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</si>
  <si>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</si>
  <si>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</si>
  <si>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</si>
  <si>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</si>
  <si>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</si>
  <si>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</si>
  <si>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</si>
  <si>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</si>
  <si>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</si>
  <si>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</si>
  <si>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</si>
  <si>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</si>
  <si>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</si>
  <si>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</si>
  <si>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</si>
  <si>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</si>
  <si>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</si>
  <si>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</si>
  <si>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</si>
  <si>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</si>
  <si>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</si>
  <si>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</si>
  <si>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</si>
  <si>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</si>
  <si>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</si>
  <si>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</si>
  <si>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</si>
  <si>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</si>
  <si>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</si>
  <si>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</si>
  <si>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</si>
  <si>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</si>
  <si>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</si>
  <si>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</si>
  <si>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</si>
  <si>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</si>
  <si>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</si>
  <si>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</si>
  <si>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</si>
  <si>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</si>
  <si>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</si>
  <si>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</si>
  <si>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</si>
  <si>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</si>
  <si>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</si>
  <si>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</si>
  <si>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</si>
  <si>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</si>
  <si>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</si>
  <si>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</si>
  <si>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</si>
  <si>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</si>
  <si>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</si>
  <si>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</si>
  <si>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</si>
  <si>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</si>
  <si>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</si>
  <si>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</si>
  <si>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</si>
  <si>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</si>
  <si>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</si>
  <si>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</si>
  <si>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</si>
  <si>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</si>
  <si>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</si>
  <si>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</si>
  <si>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</si>
  <si>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</si>
  <si>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</si>
  <si>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</si>
  <si>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</si>
  <si>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</si>
  <si>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</si>
  <si>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</si>
  <si>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</si>
  <si>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</si>
  <si>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</si>
  <si>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</si>
  <si>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</si>
  <si>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</si>
  <si>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</si>
  <si>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</si>
  <si>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</si>
  <si>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</si>
  <si>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</si>
  <si>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</si>
  <si>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</si>
  <si>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</si>
  <si>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</si>
  <si>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</si>
  <si>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</si>
  <si>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</si>
  <si>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</si>
  <si>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</si>
  <si>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</si>
  <si>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</si>
  <si>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</si>
  <si>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</si>
  <si>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</si>
  <si>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</si>
  <si>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</si>
  <si>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</si>
  <si>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</si>
  <si>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</si>
  <si>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</si>
  <si>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</si>
  <si>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</si>
  <si>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</si>
  <si>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</si>
  <si>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</si>
  <si>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</si>
  <si>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</si>
  <si>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</si>
  <si>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</si>
  <si>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</si>
  <si>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</si>
  <si>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</si>
  <si>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</si>
  <si>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</si>
  <si>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</si>
  <si>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</si>
  <si>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</si>
  <si>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</si>
  <si>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</si>
  <si>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</si>
  <si>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</si>
  <si>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</si>
  <si>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</si>
  <si>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</si>
  <si>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</si>
  <si>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</si>
  <si>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</si>
  <si>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</si>
  <si>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</si>
  <si>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</si>
  <si>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</si>
  <si>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</si>
  <si>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</si>
  <si>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</si>
  <si>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</si>
  <si>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</si>
  <si>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</si>
  <si>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</si>
  <si>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</si>
  <si>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</si>
  <si>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</si>
  <si>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</si>
  <si>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</si>
  <si>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</si>
  <si>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</si>
  <si>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</si>
  <si>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</si>
  <si>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</si>
  <si>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</si>
  <si>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</si>
  <si>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</si>
  <si>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</si>
  <si>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</si>
  <si>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</si>
  <si>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</si>
  <si>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</si>
  <si>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</si>
  <si>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</si>
  <si>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</si>
  <si>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</si>
  <si>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</si>
  <si>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</si>
  <si>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</si>
  <si>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</si>
  <si>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</si>
  <si>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</si>
  <si>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</si>
  <si>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</si>
  <si>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</si>
  <si>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</si>
  <si>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</si>
  <si>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</si>
  <si>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</si>
  <si>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</si>
  <si>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</si>
  <si>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</si>
  <si>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</si>
  <si>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</si>
  <si>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</si>
  <si>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</si>
  <si>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</si>
  <si>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</si>
  <si>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</si>
  <si>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</si>
  <si>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</si>
  <si>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</si>
  <si>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</si>
  <si>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</si>
  <si>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</si>
  <si>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</si>
  <si>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</si>
  <si>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</si>
  <si>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</si>
  <si>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</si>
  <si>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</si>
  <si>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</si>
  <si>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</si>
  <si>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</si>
  <si>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</si>
  <si>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</si>
  <si>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</si>
  <si>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</si>
  <si>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</si>
  <si>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</si>
  <si>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</si>
  <si>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</si>
  <si>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</si>
  <si>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</si>
  <si>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</si>
  <si>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</si>
  <si>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</si>
  <si>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</si>
  <si>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</si>
  <si>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</si>
  <si>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</si>
  <si>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</si>
  <si>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</si>
  <si>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</si>
  <si>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</si>
  <si>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</si>
  <si>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</si>
  <si>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</si>
  <si>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</si>
  <si>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</si>
  <si>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</si>
  <si>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</si>
  <si>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</si>
  <si>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</si>
  <si>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</si>
  <si>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</si>
  <si>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</si>
  <si>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</si>
  <si>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</si>
  <si>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</si>
  <si>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</si>
  <si>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</si>
  <si>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</si>
  <si>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</si>
  <si>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</si>
  <si>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</si>
  <si>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</si>
  <si>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</si>
  <si>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</si>
  <si>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</si>
  <si>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</si>
  <si>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</si>
  <si>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</si>
  <si>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</si>
  <si>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</si>
  <si>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</si>
  <si>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</si>
  <si>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</si>
  <si>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</si>
  <si>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</si>
  <si>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</si>
  <si>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</si>
  <si>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</si>
  <si>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</si>
  <si>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</si>
  <si>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</si>
  <si>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</si>
  <si>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</si>
  <si>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</si>
  <si>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</si>
  <si>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</si>
  <si>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</si>
  <si>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</si>
  <si>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</si>
  <si>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</si>
  <si>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</si>
  <si>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</si>
  <si>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</si>
  <si>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</si>
  <si>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</si>
  <si>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</si>
  <si>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</si>
  <si>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</si>
  <si>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</si>
  <si>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</si>
  <si>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</si>
  <si>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</si>
  <si>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</si>
  <si>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</si>
  <si>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</si>
  <si>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</si>
  <si>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</si>
  <si>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</si>
  <si>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</si>
  <si>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</si>
  <si>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</si>
  <si>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</si>
  <si>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</si>
  <si>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</si>
  <si>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</si>
  <si>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</si>
  <si>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</si>
  <si>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</si>
  <si>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</si>
  <si>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</si>
  <si>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</si>
  <si>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</si>
  <si>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</si>
  <si>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</si>
  <si>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</si>
  <si>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</si>
  <si>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</si>
  <si>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</si>
  <si>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</si>
  <si>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</si>
  <si>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</si>
  <si>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</si>
  <si>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</si>
  <si>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</si>
  <si>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</si>
  <si>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</si>
  <si>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</si>
  <si>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</si>
  <si>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</si>
  <si>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</si>
  <si>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</si>
  <si>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</si>
  <si>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</si>
  <si>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</si>
  <si>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</si>
  <si>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</si>
  <si>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</si>
  <si>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</si>
  <si>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</si>
  <si>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</si>
  <si>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</si>
  <si>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</si>
  <si>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</si>
  <si>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</si>
  <si>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</si>
  <si>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</si>
  <si>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</si>
  <si>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</si>
  <si>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</si>
  <si>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</si>
  <si>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</si>
  <si>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</si>
  <si>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</si>
  <si>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</si>
  <si>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</si>
  <si>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</si>
  <si>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</si>
  <si>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</si>
  <si>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</si>
  <si>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</si>
  <si>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</si>
  <si>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</si>
  <si>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</si>
  <si>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</si>
  <si>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</si>
  <si>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</si>
  <si>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</si>
  <si>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</si>
  <si>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</si>
  <si>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</si>
  <si>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</si>
  <si>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</si>
  <si>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</si>
  <si>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</si>
  <si>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</si>
  <si>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</si>
  <si>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</si>
  <si>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</si>
  <si>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</si>
  <si>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</si>
  <si>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</si>
  <si>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</si>
  <si>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</si>
  <si>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</si>
  <si>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</si>
  <si>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</si>
  <si>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</si>
  <si>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</si>
  <si>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</si>
  <si>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</si>
  <si>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</si>
  <si>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</si>
  <si>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</si>
  <si>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</si>
  <si>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</si>
  <si>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</si>
  <si>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</si>
  <si>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</si>
  <si>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</si>
  <si>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</si>
  <si>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</si>
  <si>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</si>
  <si>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</si>
  <si>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</si>
  <si>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</si>
  <si>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</si>
  <si>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</si>
  <si>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</si>
  <si>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</si>
  <si>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</si>
  <si>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</si>
  <si>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</si>
  <si>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</si>
  <si>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</si>
  <si>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</si>
  <si>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</si>
  <si>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</si>
  <si>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</si>
  <si>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</si>
  <si>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</si>
  <si>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</si>
  <si>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</si>
  <si>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</si>
  <si>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</si>
  <si>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</si>
  <si>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</si>
  <si>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</si>
  <si>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</si>
  <si>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</si>
  <si>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</si>
  <si>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</si>
  <si>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</si>
  <si>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</si>
  <si>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</si>
  <si>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</si>
  <si>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</si>
  <si>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</si>
  <si>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</si>
  <si>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</si>
  <si>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</si>
  <si>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</si>
  <si>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</si>
  <si>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</si>
  <si>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</si>
  <si>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</si>
  <si>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</si>
  <si>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</si>
  <si>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</si>
  <si>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</si>
  <si>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</si>
  <si>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</si>
  <si>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</si>
  <si>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</si>
  <si>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</si>
  <si>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</si>
  <si>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</si>
  <si>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</si>
  <si>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</si>
  <si>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</si>
  <si>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</si>
  <si>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</si>
  <si>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</si>
  <si>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</si>
  <si>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</si>
  <si>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</si>
  <si>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</si>
  <si>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</si>
  <si>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</si>
  <si>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</si>
  <si>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</si>
  <si>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</si>
  <si>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</si>
  <si>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</si>
  <si>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</si>
  <si>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</si>
  <si>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</si>
  <si>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</si>
  <si>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</si>
  <si>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</si>
  <si>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</si>
  <si>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</si>
  <si>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</si>
  <si>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</si>
  <si>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</si>
  <si>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</si>
  <si>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</si>
  <si>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</si>
  <si>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</si>
  <si>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</si>
  <si>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</si>
  <si>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</si>
  <si>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</si>
  <si>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</si>
  <si>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</si>
  <si>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</si>
  <si>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</si>
  <si>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</si>
  <si>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</si>
  <si>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</si>
  <si>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</si>
  <si>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</si>
  <si>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</si>
  <si>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</si>
  <si>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</si>
  <si>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</si>
  <si>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</si>
  <si>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</si>
  <si>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</si>
  <si>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</si>
  <si>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</si>
  <si>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</si>
  <si>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</si>
  <si>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</si>
  <si>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</si>
  <si>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</si>
  <si>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</si>
  <si>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</si>
  <si>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</si>
  <si>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</si>
  <si>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</si>
  <si>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</si>
  <si>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</si>
  <si>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</si>
  <si>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</si>
  <si>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</si>
  <si>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</si>
  <si>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</si>
  <si>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</si>
  <si>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</si>
  <si>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</si>
  <si>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</si>
  <si>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</si>
  <si>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</si>
  <si>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</si>
  <si>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</si>
  <si>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</si>
  <si>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</si>
  <si>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</si>
  <si>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</si>
  <si>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</si>
  <si>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</si>
  <si>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</si>
  <si>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</si>
  <si>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</si>
  <si>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</si>
  <si>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</si>
  <si>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</si>
  <si>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</si>
  <si>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</si>
  <si>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</si>
  <si>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</si>
  <si>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</si>
  <si>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</si>
  <si>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</si>
  <si>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</si>
  <si>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</si>
  <si>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</si>
  <si>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</si>
  <si>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</si>
  <si>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</si>
  <si>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</si>
  <si>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</si>
  <si>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</si>
  <si>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</si>
  <si>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</si>
  <si>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</si>
  <si>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</si>
  <si>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</si>
  <si>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</si>
  <si>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</si>
  <si>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</si>
  <si>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</si>
  <si>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</si>
  <si>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</si>
  <si>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</si>
  <si>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</si>
  <si>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</si>
  <si>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</si>
  <si>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</si>
  <si>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</si>
  <si>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</si>
  <si>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</si>
  <si>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</si>
  <si>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</si>
  <si>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</si>
  <si>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</si>
  <si>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</si>
  <si>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</si>
  <si>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</si>
  <si>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</si>
  <si>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</si>
  <si>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</si>
  <si>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</si>
  <si>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</si>
  <si>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</si>
  <si>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</si>
  <si>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</si>
  <si>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</si>
  <si>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</si>
  <si>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</si>
  <si>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</si>
  <si>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</si>
  <si>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</si>
  <si>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</si>
  <si>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</si>
  <si>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</si>
  <si>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</si>
  <si>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</si>
  <si>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</si>
  <si>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</si>
  <si>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</si>
  <si>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</si>
  <si>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</si>
  <si>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</si>
  <si>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</si>
  <si>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</si>
  <si>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</si>
  <si>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</si>
  <si>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</si>
  <si>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</si>
  <si>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</si>
  <si>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</si>
  <si>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</si>
  <si>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</si>
  <si>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</si>
  <si>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</si>
  <si>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</si>
  <si>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</si>
  <si>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</si>
  <si>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</si>
  <si>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</si>
  <si>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</si>
  <si>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</si>
  <si>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</si>
  <si>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</si>
  <si>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</si>
  <si>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</si>
  <si>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</si>
  <si>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</si>
  <si>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</si>
  <si>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</si>
  <si>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</si>
  <si>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</si>
  <si>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</si>
  <si>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</si>
  <si>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</si>
  <si>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</si>
  <si>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</si>
  <si>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</si>
  <si>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</si>
  <si>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</si>
  <si>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</si>
  <si>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</si>
  <si>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</si>
  <si>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</si>
  <si>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</si>
  <si>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</si>
  <si>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</si>
  <si>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</si>
  <si>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</si>
  <si>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</si>
  <si>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</si>
  <si>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</si>
  <si>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</si>
  <si>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</si>
  <si>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</si>
  <si>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</si>
  <si>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</si>
  <si>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</si>
  <si>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</si>
  <si>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</si>
  <si>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</si>
  <si>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</si>
  <si>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</si>
  <si>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</si>
  <si>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</si>
  <si>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</si>
  <si>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</si>
  <si>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</si>
  <si>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</si>
  <si>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</si>
  <si>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</si>
  <si>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</si>
  <si>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</si>
  <si>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</si>
  <si>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</si>
  <si>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</si>
  <si>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</si>
  <si>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</si>
  <si>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</si>
  <si>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</si>
  <si>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</si>
  <si>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</si>
  <si>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</si>
  <si>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</si>
  <si>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</si>
  <si>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</si>
  <si>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</si>
  <si>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</si>
  <si>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</si>
  <si>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</si>
  <si>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</si>
  <si>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</si>
  <si>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</si>
  <si>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</si>
  <si>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</si>
  <si>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</si>
  <si>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</si>
  <si>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</si>
  <si>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</si>
  <si>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</si>
  <si>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</si>
  <si>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</si>
  <si>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</si>
  <si>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</si>
  <si>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</si>
  <si>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</si>
  <si>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</si>
  <si>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</si>
  <si>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</si>
  <si>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</si>
  <si>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</si>
  <si>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</si>
  <si>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</si>
  <si>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</si>
  <si>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</si>
  <si>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</si>
  <si>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</si>
  <si>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</si>
  <si>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</si>
  <si>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</si>
  <si>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</si>
  <si>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</si>
  <si>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</si>
  <si>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</si>
  <si>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</si>
  <si>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</si>
  <si>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</si>
  <si>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</si>
  <si>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</si>
  <si>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</si>
  <si>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</si>
  <si>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</si>
  <si>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</si>
  <si>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</si>
  <si>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</si>
  <si>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</si>
  <si>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</si>
  <si>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</si>
  <si>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</si>
  <si>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</si>
  <si>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</si>
  <si>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</si>
  <si>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</si>
  <si>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</si>
  <si>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</si>
  <si>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</si>
  <si>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</si>
  <si>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</si>
  <si>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</si>
  <si>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</si>
  <si>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</si>
  <si>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</si>
  <si>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</si>
  <si>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</si>
  <si>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</si>
  <si>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</si>
  <si>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</si>
  <si>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</si>
  <si>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</si>
  <si>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</si>
  <si>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</si>
  <si>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</si>
  <si>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</si>
  <si>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</si>
  <si>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</si>
  <si>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</si>
  <si>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</si>
  <si>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</si>
  <si>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</si>
  <si>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</si>
  <si>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</si>
  <si>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</si>
  <si>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</si>
  <si>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</si>
  <si>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</si>
  <si>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</si>
  <si>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</si>
  <si>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</si>
  <si>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</si>
  <si>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</si>
  <si>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</si>
  <si>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</si>
  <si>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</si>
  <si>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</si>
  <si>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</si>
  <si>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</si>
  <si>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</si>
  <si>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</si>
  <si>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</si>
  <si>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</si>
  <si>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</si>
  <si>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</si>
  <si>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</si>
  <si>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</si>
  <si>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</si>
  <si>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</si>
  <si>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</si>
  <si>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</si>
  <si>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</si>
  <si>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</si>
  <si>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</si>
  <si>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</si>
  <si>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</si>
  <si>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</si>
  <si>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</si>
  <si>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</si>
  <si>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</si>
  <si>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</si>
  <si>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</si>
  <si>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</si>
  <si>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</si>
  <si>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</si>
  <si>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</si>
  <si>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</si>
  <si>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</si>
  <si>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</si>
  <si>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</si>
  <si>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</si>
  <si>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</si>
  <si>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</si>
  <si>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</si>
  <si>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</si>
  <si>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</si>
  <si>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</si>
  <si>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</si>
  <si>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</si>
  <si>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</si>
  <si>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</si>
  <si>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</si>
  <si>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</si>
  <si>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</si>
  <si>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</si>
  <si>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</si>
  <si>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</si>
  <si>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</si>
  <si>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</si>
  <si>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</si>
  <si>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</si>
  <si>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</si>
  <si>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</si>
  <si>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</si>
  <si>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</si>
  <si>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</si>
  <si>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</si>
  <si>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</si>
  <si>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</si>
  <si>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</si>
  <si>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</si>
  <si>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</si>
  <si>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</si>
  <si>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</si>
  <si>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</si>
  <si>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</si>
  <si>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</si>
  <si>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</si>
  <si>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</si>
  <si>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</si>
  <si>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</si>
  <si>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</si>
  <si>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</si>
  <si>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</si>
  <si>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</si>
  <si>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</si>
  <si>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</si>
  <si>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</si>
  <si>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</si>
  <si>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</si>
  <si>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</si>
  <si>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</si>
  <si>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</si>
  <si>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</si>
  <si>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</si>
  <si>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</si>
  <si>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</si>
  <si>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</si>
  <si>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</si>
  <si>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</si>
  <si>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</si>
  <si>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</si>
  <si>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</si>
  <si>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</si>
  <si>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</si>
  <si>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</si>
  <si>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</si>
  <si>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</si>
  <si>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</si>
  <si>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</si>
  <si>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</si>
  <si>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</si>
  <si>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</si>
  <si>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</si>
  <si>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</si>
  <si>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</si>
  <si>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</si>
  <si>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</si>
  <si>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</si>
  <si>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</si>
  <si>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</si>
  <si>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</si>
  <si>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</si>
  <si>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</si>
  <si>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</si>
  <si>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</si>
  <si>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</si>
  <si>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</si>
  <si>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</si>
  <si>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</si>
  <si>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</si>
  <si>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</si>
  <si>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</si>
  <si>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</si>
  <si>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</si>
  <si>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</si>
  <si>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</si>
  <si>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</si>
  <si>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</si>
  <si>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</si>
  <si>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</si>
  <si>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</si>
  <si>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</si>
  <si>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</si>
  <si>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</si>
  <si>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</si>
  <si>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</si>
  <si>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</si>
  <si>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</si>
  <si>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</si>
  <si>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</si>
  <si>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</si>
  <si>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</si>
  <si>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</si>
  <si>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</si>
  <si>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</si>
  <si>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</si>
  <si>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</si>
  <si>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</si>
  <si>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</si>
  <si>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</si>
  <si>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</si>
  <si>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</si>
  <si>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</si>
  <si>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</si>
  <si>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</si>
  <si>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</si>
  <si>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</si>
  <si>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</si>
  <si>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</si>
  <si>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</si>
  <si>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</si>
  <si>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</si>
  <si>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</si>
  <si>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</si>
  <si>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</si>
  <si>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</si>
  <si>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</si>
  <si>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</si>
  <si>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</si>
  <si>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</si>
  <si>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</si>
  <si>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</si>
  <si>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</si>
  <si>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</si>
  <si>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</si>
  <si>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</si>
  <si>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</si>
  <si>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</si>
  <si>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</si>
  <si>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</si>
  <si>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</si>
  <si>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</si>
  <si>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</si>
  <si>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</si>
  <si>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</si>
  <si>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</si>
  <si>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</si>
  <si>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</si>
  <si>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</si>
  <si>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</si>
  <si>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</si>
  <si>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</si>
  <si>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</si>
  <si>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</si>
  <si>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</si>
  <si>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</si>
  <si>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</si>
  <si>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</si>
  <si>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</si>
  <si>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</si>
  <si>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</si>
  <si>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</si>
  <si>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</si>
  <si>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</si>
  <si>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</si>
  <si>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</si>
  <si>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</si>
  <si>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</si>
  <si>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</si>
  <si>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</si>
  <si>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</si>
  <si>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</si>
  <si>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</si>
  <si>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</si>
  <si>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</si>
  <si>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</si>
  <si>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</si>
  <si>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</si>
  <si>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</si>
  <si>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</si>
  <si>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</si>
  <si>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</si>
  <si>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</si>
  <si>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</si>
  <si>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</si>
  <si>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</si>
  <si>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</si>
  <si>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</si>
  <si>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</si>
  <si>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</si>
  <si>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</si>
  <si>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</si>
  <si>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</si>
  <si>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</si>
  <si>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</si>
  <si>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</si>
  <si>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</si>
  <si>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</si>
  <si>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</si>
  <si>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</si>
  <si>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</si>
  <si>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</si>
  <si>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</si>
  <si>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</si>
  <si>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</si>
  <si>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</si>
  <si>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</si>
  <si>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</si>
  <si>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</si>
  <si>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</si>
  <si>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</si>
  <si>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</si>
  <si>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</si>
  <si>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</si>
  <si>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</si>
  <si>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</si>
  <si>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</si>
  <si>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</si>
  <si>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</si>
  <si>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</si>
  <si>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</si>
  <si>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</si>
  <si>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</si>
  <si>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</si>
  <si>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</si>
  <si>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</si>
  <si>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</si>
  <si>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</si>
  <si>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</si>
  <si>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</si>
  <si>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</si>
  <si>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</si>
  <si>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</si>
  <si>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</si>
  <si>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</si>
  <si>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</si>
  <si>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</si>
  <si>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</si>
  <si>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</si>
  <si>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</si>
  <si>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</si>
  <si>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</si>
  <si>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</si>
  <si>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</si>
  <si>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</si>
  <si>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</si>
  <si>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</si>
  <si>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</si>
  <si>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</si>
  <si>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</si>
  <si>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</si>
  <si>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</si>
  <si>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</si>
  <si>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</si>
  <si>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</si>
  <si>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</si>
  <si>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</si>
  <si>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</si>
  <si>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</si>
  <si>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</si>
  <si>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</si>
  <si>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</si>
  <si>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</si>
  <si>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</si>
  <si>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</si>
  <si>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</si>
  <si>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</si>
  <si>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</si>
  <si>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</si>
  <si>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</si>
  <si>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</si>
  <si>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</si>
  <si>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</si>
  <si>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</si>
  <si>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</si>
  <si>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</si>
  <si>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</si>
  <si>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</si>
  <si>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</si>
  <si>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</si>
  <si>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</si>
  <si>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</si>
  <si>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</si>
  <si>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</si>
  <si>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</si>
  <si>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</si>
  <si>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</si>
  <si>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</si>
  <si>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</si>
  <si>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</si>
  <si>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</si>
  <si>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</si>
  <si>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</si>
  <si>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</si>
  <si>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</si>
  <si>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</si>
  <si>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</si>
  <si>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</si>
  <si>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</si>
  <si>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</si>
  <si>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</si>
  <si>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</si>
  <si>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</si>
  <si>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</si>
  <si>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</si>
  <si>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</si>
  <si>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</si>
  <si>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</si>
  <si>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</si>
  <si>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</si>
  <si>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</si>
  <si>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</si>
  <si>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</si>
  <si>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</si>
  <si>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</si>
  <si>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</si>
  <si>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</si>
  <si>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</si>
  <si>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</si>
  <si>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</si>
  <si>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</si>
  <si>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</si>
  <si>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</si>
  <si>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</si>
  <si>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</si>
  <si>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</si>
  <si>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</si>
  <si>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</si>
  <si>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</si>
  <si>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</si>
  <si>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</si>
  <si>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</si>
  <si>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</si>
  <si>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</si>
  <si>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</si>
  <si>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</si>
  <si>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</si>
  <si>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</si>
  <si>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</si>
  <si>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</si>
  <si>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</si>
  <si>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</si>
  <si>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</si>
  <si>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</si>
  <si>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</si>
  <si>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</si>
  <si>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</si>
  <si>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</si>
  <si>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</si>
  <si>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</si>
  <si>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</si>
  <si>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</si>
  <si>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</si>
  <si>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</si>
  <si>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</si>
  <si>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</si>
  <si>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</si>
  <si>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</si>
  <si>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</si>
  <si>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</si>
  <si>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</si>
  <si>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</si>
  <si>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</si>
  <si>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</si>
  <si>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</si>
  <si>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</si>
  <si>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</si>
  <si>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</si>
  <si>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</si>
  <si>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</si>
  <si>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</si>
  <si>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</si>
  <si>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</si>
  <si>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</si>
  <si>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</si>
  <si>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</si>
  <si>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</si>
  <si>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</si>
  <si>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</si>
  <si>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</si>
  <si>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</si>
  <si>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</si>
  <si>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</si>
  <si>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</si>
  <si>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</si>
  <si>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</si>
  <si>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</si>
  <si>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</si>
  <si>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</si>
  <si>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</si>
  <si>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</si>
  <si>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</si>
  <si>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</si>
  <si>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</si>
  <si>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</si>
  <si>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</si>
  <si>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</si>
  <si>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</si>
  <si>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</si>
  <si>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</si>
  <si>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</si>
  <si>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</si>
  <si>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</si>
  <si>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</si>
  <si>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</si>
  <si>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</si>
  <si>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</si>
  <si>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</si>
  <si>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</si>
  <si>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</si>
  <si>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</si>
  <si>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</si>
  <si>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</si>
  <si>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</si>
  <si>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</si>
  <si>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</si>
  <si>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</si>
  <si>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</si>
  <si>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</si>
  <si>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</si>
  <si>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</si>
  <si>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</si>
  <si>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</si>
  <si>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</si>
  <si>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</si>
  <si>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</si>
  <si>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</si>
  <si>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</si>
  <si>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</si>
  <si>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</si>
  <si>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</si>
  <si>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</si>
  <si>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</si>
  <si>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</si>
  <si>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</si>
  <si>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</si>
  <si>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</si>
  <si>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</si>
  <si>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</si>
  <si>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</si>
  <si>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</si>
  <si>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</si>
  <si>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</si>
  <si>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</si>
  <si>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</si>
  <si>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</si>
  <si>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</si>
  <si>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</si>
  <si>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</si>
  <si>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</si>
  <si>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</si>
  <si>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</si>
  <si>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</si>
  <si>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</si>
  <si>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</si>
  <si>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</si>
  <si>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</si>
  <si>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</si>
  <si>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</si>
  <si>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</si>
  <si>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</si>
  <si>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</si>
  <si>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</si>
  <si>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</si>
  <si>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</si>
  <si>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</si>
  <si>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</si>
  <si>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</si>
  <si>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</si>
  <si>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</si>
  <si>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</si>
  <si>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</si>
  <si>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</si>
  <si>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</si>
  <si>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</si>
  <si>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</si>
  <si>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</si>
  <si>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</si>
  <si>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</si>
  <si>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</si>
  <si>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</si>
  <si>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</si>
  <si>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</si>
  <si>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</si>
  <si>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</si>
  <si>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</si>
  <si>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</si>
  <si>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</si>
  <si>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</si>
  <si>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</si>
  <si>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</si>
  <si>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</si>
  <si>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</si>
  <si>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</si>
  <si>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</si>
  <si>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</si>
  <si>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</si>
  <si>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</si>
  <si>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</si>
  <si>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</si>
  <si>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</si>
  <si>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</si>
  <si>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</si>
  <si>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</si>
  <si>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</si>
  <si>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</si>
  <si>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</si>
  <si>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</si>
  <si>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</si>
  <si>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</si>
  <si>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</si>
  <si>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</si>
  <si>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</si>
  <si>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</si>
  <si>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</si>
  <si>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</si>
  <si>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</si>
  <si>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</si>
  <si>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</si>
  <si>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</si>
  <si>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</si>
  <si>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</si>
  <si>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</si>
  <si>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</si>
  <si>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</si>
  <si>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</si>
  <si>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</si>
  <si>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</si>
  <si>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</si>
  <si>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</si>
  <si>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</si>
  <si>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</si>
  <si>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</si>
  <si>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</si>
  <si>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</si>
  <si>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</si>
  <si>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</si>
  <si>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</si>
  <si>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</si>
  <si>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</si>
  <si>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</si>
  <si>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</si>
  <si>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</si>
  <si>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</si>
  <si>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</si>
  <si>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</si>
  <si>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</si>
  <si>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</si>
  <si>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</si>
  <si>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</si>
  <si>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</si>
  <si>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</si>
  <si>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</si>
  <si>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</si>
  <si>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</si>
  <si>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</si>
  <si>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</si>
  <si>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</si>
  <si>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</si>
  <si>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</si>
  <si>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</si>
  <si>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</si>
  <si>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</si>
  <si>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</si>
  <si>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</si>
  <si>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</si>
  <si>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</si>
  <si>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</si>
  <si>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</si>
  <si>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</si>
  <si>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</si>
  <si>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</si>
  <si>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</si>
  <si>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</si>
  <si>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</si>
  <si>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</si>
  <si>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</si>
  <si>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</si>
  <si>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</si>
  <si>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</si>
  <si>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</si>
  <si>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</si>
  <si>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</si>
  <si>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</si>
  <si>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</si>
  <si>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</si>
  <si>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</si>
  <si>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</si>
  <si>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</si>
  <si>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</si>
  <si>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</si>
  <si>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</si>
  <si>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</si>
  <si>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</si>
  <si>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</si>
  <si>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</si>
  <si>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</si>
  <si>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</si>
  <si>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</si>
  <si>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</si>
  <si>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</si>
  <si>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</si>
  <si>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</si>
  <si>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</si>
  <si>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</si>
  <si>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</si>
  <si>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</si>
  <si>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</si>
  <si>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</si>
  <si>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</si>
  <si>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</si>
  <si>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</si>
  <si>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</si>
  <si>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</si>
  <si>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</si>
  <si>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</si>
  <si>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</si>
  <si>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</si>
  <si>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</si>
  <si>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</si>
  <si>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</si>
  <si>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</si>
  <si>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</si>
  <si>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</si>
  <si>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</si>
  <si>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</si>
  <si>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</si>
  <si>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</si>
  <si>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</si>
  <si>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</si>
  <si>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</si>
  <si>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</si>
  <si>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</si>
  <si>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</si>
  <si>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</si>
  <si>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</si>
  <si>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</si>
  <si>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</si>
  <si>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</si>
  <si>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</si>
  <si>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</si>
  <si>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</si>
  <si>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</si>
  <si>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</si>
  <si>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</si>
  <si>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</si>
  <si>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</si>
  <si>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</si>
  <si>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</si>
  <si>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</si>
  <si>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</si>
  <si>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</si>
  <si>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</si>
  <si>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</si>
  <si>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</si>
  <si>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</si>
  <si>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</si>
  <si>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</si>
  <si>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</si>
  <si>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</si>
  <si>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</si>
  <si>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</si>
  <si>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</si>
  <si>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</si>
  <si>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</si>
  <si>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</si>
  <si>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</si>
  <si>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</si>
  <si>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</si>
  <si>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</si>
  <si>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</si>
  <si>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</si>
  <si>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</si>
  <si>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</si>
  <si>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</si>
  <si>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</si>
  <si>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</si>
  <si>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</si>
  <si>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</si>
  <si>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</si>
  <si>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</si>
  <si>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</si>
  <si>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</si>
  <si>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</si>
  <si>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</si>
  <si>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</si>
  <si>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</si>
  <si>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</si>
  <si>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</si>
  <si>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</si>
  <si>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</si>
  <si>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</si>
  <si>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</si>
  <si>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</si>
  <si>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</si>
  <si>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</si>
  <si>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</si>
  <si>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</si>
  <si>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</si>
  <si>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</si>
  <si>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</si>
  <si>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</si>
  <si>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</si>
  <si>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</si>
  <si>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</si>
  <si>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</si>
  <si>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</si>
  <si>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</si>
  <si>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</si>
  <si>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</si>
  <si>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</si>
  <si>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</si>
  <si>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</si>
  <si>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</si>
  <si>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</si>
  <si>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</si>
  <si>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</si>
  <si>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</si>
  <si>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</si>
  <si>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</si>
  <si>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</si>
  <si>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</si>
  <si>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</si>
  <si>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</si>
  <si>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</si>
  <si>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</si>
  <si>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</si>
  <si>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</si>
  <si>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</si>
  <si>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</si>
  <si>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</si>
  <si>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</si>
  <si>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</si>
  <si>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</si>
  <si>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</si>
  <si>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</si>
  <si>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</si>
  <si>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</si>
  <si>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</si>
  <si>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</si>
  <si>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</si>
  <si>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</si>
  <si>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</si>
  <si>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</si>
  <si>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</si>
  <si>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</si>
  <si>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</si>
  <si>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</si>
  <si>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</si>
  <si>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</si>
  <si>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</si>
  <si>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</si>
  <si>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</si>
  <si>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</si>
  <si>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</si>
  <si>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</si>
  <si>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</si>
  <si>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</si>
  <si>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</si>
  <si>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</si>
  <si>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</si>
  <si>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</si>
  <si>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</si>
  <si>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</si>
  <si>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</si>
  <si>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</si>
  <si>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</si>
  <si>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</si>
  <si>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</si>
  <si>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</si>
  <si>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</si>
  <si>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</si>
  <si>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</si>
  <si>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</si>
  <si>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</si>
  <si>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</si>
  <si>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</si>
  <si>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</si>
  <si>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</si>
  <si>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</si>
  <si>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</si>
  <si>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</si>
  <si>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</si>
  <si>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</si>
  <si>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</si>
  <si>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</si>
  <si>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</si>
  <si>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</si>
  <si>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</si>
  <si>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</si>
  <si>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</si>
  <si>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</si>
  <si>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</si>
  <si>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</si>
  <si>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</si>
  <si>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</si>
  <si>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</si>
  <si>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</si>
  <si>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</si>
  <si>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</si>
  <si>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</si>
  <si>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</si>
  <si>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</si>
  <si>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</si>
  <si>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</si>
  <si>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</si>
  <si>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</si>
  <si>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</si>
  <si>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</si>
  <si>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</si>
  <si>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</si>
  <si>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</si>
  <si>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</si>
  <si>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</si>
  <si>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</si>
  <si>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</si>
  <si>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</si>
  <si>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</si>
  <si>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</si>
  <si>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</si>
  <si>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</si>
  <si>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</si>
  <si>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</si>
  <si>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</si>
  <si>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</si>
  <si>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</si>
  <si>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</si>
  <si>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</si>
  <si>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</si>
  <si>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</si>
  <si>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</si>
  <si>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</si>
  <si>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</si>
  <si>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</si>
  <si>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</si>
  <si>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</si>
  <si>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</si>
  <si>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</si>
  <si>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</si>
  <si>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</si>
  <si>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</si>
  <si>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</si>
  <si>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</si>
  <si>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</si>
  <si>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</si>
  <si>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</si>
  <si>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</si>
  <si>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</si>
  <si>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</si>
  <si>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</si>
  <si>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</si>
  <si>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</si>
  <si>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</si>
  <si>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</si>
  <si>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</si>
  <si>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</si>
  <si>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</si>
  <si>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</si>
  <si>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</si>
  <si>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</si>
  <si>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</si>
  <si>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</si>
  <si>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</si>
  <si>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</si>
  <si>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</si>
  <si>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</si>
  <si>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</si>
  <si>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</si>
  <si>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</si>
  <si>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</si>
  <si>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</si>
  <si>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</si>
  <si>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</si>
  <si>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</si>
  <si>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</si>
  <si>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</si>
  <si>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</si>
  <si>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</si>
  <si>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</si>
  <si>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</si>
  <si>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</si>
  <si>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</si>
  <si>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</si>
  <si>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</si>
  <si>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</si>
  <si>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</si>
  <si>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</si>
  <si>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</si>
  <si>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</si>
  <si>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</si>
  <si>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</si>
  <si>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</si>
  <si>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</si>
  <si>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</si>
  <si>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</si>
  <si>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</si>
  <si>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</si>
  <si>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</si>
  <si>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</si>
  <si>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</si>
  <si>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</si>
  <si>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</si>
  <si>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</si>
  <si>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</si>
  <si>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</si>
  <si>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</si>
  <si>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</si>
  <si>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</si>
  <si>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</si>
  <si>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</si>
  <si>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</si>
  <si>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</si>
  <si>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</si>
  <si>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</si>
  <si>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</si>
  <si>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</si>
  <si>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</si>
  <si>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</si>
  <si>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</si>
  <si>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</si>
  <si>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</si>
  <si>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</si>
  <si>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</si>
  <si>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</si>
  <si>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</si>
  <si>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</si>
  <si>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</si>
  <si>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</si>
  <si>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</si>
  <si>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</si>
  <si>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</si>
  <si>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</si>
  <si>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</si>
  <si>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</si>
  <si>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</si>
  <si>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</si>
  <si>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</si>
  <si>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</si>
  <si>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</si>
  <si>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</si>
  <si>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</si>
  <si>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</si>
  <si>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</si>
  <si>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</si>
  <si>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</si>
  <si>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</si>
  <si>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</si>
  <si>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</si>
  <si>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</si>
  <si>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</si>
  <si>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</si>
  <si>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</si>
  <si>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</si>
  <si>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</si>
  <si>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</si>
  <si>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</si>
  <si>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</si>
  <si>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</si>
  <si>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</si>
  <si>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</si>
  <si>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</si>
  <si>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</si>
  <si>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</si>
  <si>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</si>
  <si>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</si>
  <si>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</si>
  <si>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</si>
  <si>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</si>
  <si>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</si>
  <si>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</si>
  <si>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</si>
  <si>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</si>
  <si>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</si>
  <si>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</si>
  <si>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</si>
  <si>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</si>
  <si>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</si>
  <si>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</si>
  <si>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</si>
  <si>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</si>
  <si>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</si>
  <si>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</si>
  <si>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</si>
  <si>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</si>
  <si>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</si>
  <si>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</si>
  <si>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</si>
  <si>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</si>
  <si>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</si>
  <si>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</si>
  <si>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</si>
  <si>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</si>
  <si>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</si>
  <si>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</si>
  <si>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</si>
  <si>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</si>
  <si>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</si>
  <si>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</si>
  <si>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</si>
  <si>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</si>
  <si>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</si>
  <si>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</si>
  <si>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</si>
  <si>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</si>
  <si>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</si>
  <si>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</si>
  <si>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</si>
  <si>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</si>
  <si>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</si>
  <si>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</si>
  <si>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</si>
  <si>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</si>
  <si>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</si>
  <si>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</si>
  <si>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</si>
  <si>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</si>
  <si>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</si>
  <si>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</si>
  <si>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</si>
  <si>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</si>
  <si>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</si>
  <si>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</si>
  <si>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</si>
  <si>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</si>
  <si>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</si>
  <si>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</si>
  <si>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</si>
  <si>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</si>
  <si>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</si>
  <si>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</si>
  <si>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</si>
  <si>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</si>
  <si>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</si>
  <si>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</si>
  <si>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</si>
  <si>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</si>
  <si>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</si>
  <si>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</si>
  <si>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</si>
  <si>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</si>
  <si>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</si>
  <si>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</si>
  <si>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</si>
  <si>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</si>
  <si>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</si>
  <si>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</si>
  <si>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</si>
  <si>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</si>
  <si>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</si>
  <si>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</si>
  <si>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</si>
  <si>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</si>
  <si>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</si>
  <si>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</si>
  <si>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</si>
  <si>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</si>
  <si>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</si>
  <si>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</si>
  <si>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</si>
  <si>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</si>
  <si>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</si>
  <si>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</si>
  <si>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</si>
  <si>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</si>
  <si>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</si>
  <si>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</si>
  <si>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</si>
  <si>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</si>
  <si>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</si>
  <si>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</si>
  <si>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</si>
  <si>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</si>
  <si>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</si>
  <si>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</si>
  <si>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</si>
  <si>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</si>
  <si>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</si>
  <si>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</si>
  <si>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</si>
  <si>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</si>
  <si>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</si>
  <si>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</si>
  <si>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</si>
  <si>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</si>
  <si>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</si>
  <si>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</si>
  <si>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</si>
  <si>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</si>
  <si>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</si>
  <si>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</si>
  <si>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</si>
  <si>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</si>
  <si>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</si>
  <si>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</si>
  <si>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</si>
  <si>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</si>
  <si>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</si>
  <si>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</si>
  <si>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</si>
  <si>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</si>
  <si>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</si>
  <si>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</si>
  <si>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</si>
  <si>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</si>
  <si>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</si>
  <si>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</si>
  <si>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</si>
  <si>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</si>
  <si>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</si>
  <si>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</si>
  <si>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</si>
  <si>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</si>
  <si>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</si>
  <si>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</si>
  <si>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</si>
  <si>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</si>
  <si>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</si>
  <si>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</si>
  <si>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</si>
  <si>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</si>
  <si>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</si>
  <si>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</si>
  <si>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</si>
  <si>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</si>
  <si>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</si>
  <si>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</si>
  <si>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</si>
  <si>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</si>
  <si>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</si>
  <si>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</si>
  <si>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</si>
  <si>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</si>
  <si>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</si>
  <si>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</si>
  <si>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</si>
  <si>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</si>
  <si>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</si>
  <si>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</si>
  <si>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</si>
  <si>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</si>
  <si>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</si>
  <si>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</si>
  <si>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</si>
  <si>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</si>
  <si>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</si>
  <si>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</si>
  <si>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</si>
  <si>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</si>
  <si>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</si>
  <si>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</si>
  <si>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</si>
  <si>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</si>
  <si>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</si>
  <si>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</si>
  <si>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</si>
  <si>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</si>
  <si>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</si>
  <si>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</si>
  <si>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</si>
  <si>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</si>
  <si>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</si>
  <si>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</si>
  <si>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</si>
  <si>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</si>
  <si>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</si>
  <si>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</si>
  <si>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</si>
  <si>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</si>
  <si>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</si>
  <si>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</si>
  <si>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</si>
  <si>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</si>
  <si>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</si>
  <si>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</si>
  <si>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</si>
  <si>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</si>
  <si>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</si>
  <si>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</si>
  <si>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</si>
  <si>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</si>
  <si>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</si>
  <si>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</si>
  <si>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</si>
  <si>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</si>
  <si>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</si>
  <si>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</si>
  <si>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</si>
  <si>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</si>
  <si>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</si>
  <si>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</si>
  <si>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</si>
  <si>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</si>
  <si>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</si>
  <si>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</si>
  <si>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</si>
  <si>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</si>
  <si>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</si>
  <si>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</si>
  <si>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</si>
  <si>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</si>
  <si>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</si>
  <si>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</si>
  <si>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</si>
  <si>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</si>
  <si>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</si>
  <si>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</si>
  <si>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</si>
  <si>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</si>
  <si>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</si>
  <si>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</si>
  <si>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</si>
  <si>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</si>
  <si>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</si>
  <si>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</si>
  <si>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</si>
  <si>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</si>
  <si>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</si>
  <si>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</si>
  <si>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</si>
  <si>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</si>
  <si>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</si>
  <si>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</si>
  <si>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</si>
  <si>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</si>
  <si>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</si>
  <si>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</si>
  <si>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</si>
  <si>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</si>
  <si>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</si>
  <si>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</si>
  <si>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</si>
  <si>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</si>
  <si>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</si>
  <si>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</si>
  <si>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</si>
  <si>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</si>
  <si>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</si>
  <si>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</si>
  <si>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</si>
  <si>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</si>
  <si>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</si>
  <si>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</si>
  <si>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</si>
  <si>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</si>
  <si>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</si>
  <si>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</si>
  <si>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</si>
  <si>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</si>
  <si>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</si>
  <si>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</si>
  <si>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</si>
  <si>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</si>
  <si>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</si>
  <si>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</si>
  <si>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</si>
  <si>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</si>
  <si>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</si>
  <si>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</si>
  <si>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</si>
  <si>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</si>
  <si>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</si>
  <si>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</si>
  <si>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</si>
  <si>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</si>
  <si>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</si>
  <si>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</si>
  <si>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</si>
  <si>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</si>
  <si>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</si>
  <si>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</si>
  <si>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</si>
  <si>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</si>
  <si>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</si>
  <si>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</si>
  <si>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</si>
  <si>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</si>
  <si>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</si>
  <si>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</si>
  <si>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</si>
  <si>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</si>
  <si>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</si>
  <si>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</si>
  <si>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</si>
  <si>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</si>
  <si>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</si>
  <si>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</si>
  <si>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</si>
  <si>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</si>
  <si>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</si>
  <si>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</si>
  <si>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</si>
  <si>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</si>
  <si>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</si>
  <si>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</si>
  <si>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</si>
  <si>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</si>
  <si>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</si>
  <si>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</si>
  <si>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</si>
  <si>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</si>
  <si>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</si>
  <si>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</si>
  <si>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</si>
  <si>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</si>
  <si>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</si>
  <si>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</si>
  <si>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</si>
  <si>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</si>
  <si>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</si>
  <si>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</si>
  <si>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</si>
  <si>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</si>
  <si>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</si>
  <si>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</si>
  <si>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</si>
  <si>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</si>
  <si>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</si>
  <si>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</si>
  <si>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</si>
  <si>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</si>
  <si>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</si>
  <si>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</si>
  <si>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</si>
  <si>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</si>
  <si>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</si>
  <si>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</si>
  <si>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</si>
  <si>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</si>
  <si>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</si>
  <si>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</si>
  <si>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</si>
  <si>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</si>
  <si>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</si>
  <si>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</si>
  <si>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</si>
  <si>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</si>
  <si>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</si>
  <si>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</si>
  <si>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</si>
  <si>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</si>
  <si>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</si>
  <si>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</si>
  <si>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</si>
  <si>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</si>
  <si>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</si>
  <si>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</si>
  <si>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</si>
  <si>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</si>
  <si>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</si>
  <si>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</si>
  <si>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</si>
  <si>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</si>
  <si>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</si>
  <si>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</si>
  <si>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</si>
  <si>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</si>
  <si>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</si>
  <si>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</si>
  <si>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</si>
  <si>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</si>
  <si>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</si>
  <si>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</si>
  <si>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</si>
  <si>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</si>
  <si>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</si>
  <si>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</si>
  <si>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</si>
  <si>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</si>
  <si>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</si>
  <si>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</si>
  <si>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</si>
  <si>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</si>
  <si>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</si>
  <si>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</si>
  <si>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</si>
  <si>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</si>
  <si>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</si>
  <si>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</si>
  <si>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</si>
  <si>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</si>
  <si>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</si>
  <si>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</si>
  <si>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</si>
  <si>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</si>
  <si>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</si>
  <si>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</si>
  <si>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</si>
  <si>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</si>
  <si>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</si>
  <si>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</si>
  <si>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</si>
  <si>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</si>
  <si>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</si>
  <si>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</si>
  <si>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</si>
  <si>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</si>
  <si>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</si>
  <si>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</si>
  <si>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</si>
  <si>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</si>
  <si>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</si>
  <si>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</si>
  <si>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</si>
  <si>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</si>
  <si>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</si>
  <si>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</si>
  <si>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</si>
  <si>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</si>
  <si>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</si>
  <si>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</si>
  <si>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</si>
  <si>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</si>
  <si>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</si>
  <si>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</si>
  <si>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</si>
  <si>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</si>
  <si>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</si>
  <si>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</si>
  <si>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</si>
  <si>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</si>
  <si>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</si>
  <si>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</si>
  <si>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</si>
  <si>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</si>
  <si>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</si>
  <si>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</si>
  <si>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</si>
  <si>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</si>
  <si>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</si>
  <si>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</si>
  <si>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</si>
  <si>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</si>
  <si>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</si>
  <si>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</si>
  <si>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</si>
  <si>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</si>
  <si>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</si>
  <si>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</si>
  <si>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</si>
  <si>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</si>
  <si>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</si>
  <si>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</si>
  <si>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</si>
  <si>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</si>
  <si>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</si>
  <si>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</si>
  <si>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</si>
  <si>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</si>
  <si>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</si>
  <si>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</si>
  <si>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</si>
  <si>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</si>
  <si>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</si>
  <si>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</si>
  <si>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</si>
  <si>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</si>
  <si>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</si>
  <si>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</si>
  <si>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</si>
  <si>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</si>
  <si>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</si>
  <si>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</si>
  <si>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</si>
  <si>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</si>
  <si>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</si>
  <si>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</si>
  <si>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</si>
  <si>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</si>
  <si>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</si>
  <si>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</si>
  <si>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</si>
  <si>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</si>
  <si>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</si>
  <si>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</si>
  <si>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</si>
  <si>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</si>
  <si>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</si>
  <si>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</si>
  <si>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</si>
  <si>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</si>
  <si>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</si>
  <si>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</si>
  <si>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</si>
  <si>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</si>
  <si>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</si>
  <si>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</si>
  <si>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</si>
  <si>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</si>
  <si>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</si>
  <si>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</si>
  <si>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</si>
  <si>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</si>
  <si>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</si>
  <si>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</si>
  <si>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</si>
  <si>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</si>
  <si>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</si>
  <si>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</si>
  <si>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</si>
  <si>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</si>
  <si>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</si>
  <si>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</si>
  <si>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</si>
  <si>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</si>
  <si>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</si>
  <si>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</si>
  <si>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</si>
  <si>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</si>
  <si>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</si>
  <si>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</si>
  <si>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</si>
  <si>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</si>
  <si>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</si>
  <si>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</si>
  <si>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</si>
  <si>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</si>
  <si>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</si>
  <si>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</si>
  <si>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</si>
  <si>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</si>
  <si>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</si>
  <si>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</si>
  <si>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</si>
  <si>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</si>
  <si>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</si>
  <si>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</si>
  <si>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</si>
  <si>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</si>
  <si>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</si>
  <si>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</si>
  <si>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</si>
  <si>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</si>
  <si>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</si>
  <si>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</si>
  <si>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</si>
  <si>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</si>
  <si>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</si>
  <si>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</si>
  <si>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</si>
  <si>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</si>
  <si>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</si>
  <si>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</si>
  <si>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</si>
  <si>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</si>
  <si>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</si>
  <si>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</si>
  <si>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</si>
  <si>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</si>
  <si>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</si>
  <si>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</si>
  <si>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</si>
  <si>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</si>
  <si>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</si>
  <si>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</si>
  <si>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</si>
  <si>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</si>
  <si>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</si>
  <si>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</si>
  <si>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</si>
  <si>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</si>
  <si>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</si>
  <si>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</si>
  <si>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</si>
  <si>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</si>
  <si>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</si>
  <si>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</si>
  <si>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</si>
  <si>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</si>
  <si>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</si>
  <si>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</si>
  <si>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</si>
  <si>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</si>
  <si>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</si>
  <si>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</si>
  <si>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</si>
  <si>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</si>
  <si>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</si>
  <si>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</si>
  <si>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</si>
  <si>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</si>
  <si>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</si>
  <si>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</si>
  <si>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</si>
  <si>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</si>
  <si>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</si>
  <si>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</si>
  <si>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</si>
  <si>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</si>
  <si>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</si>
  <si>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</si>
  <si>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</si>
  <si>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</si>
  <si>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</si>
  <si>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</si>
  <si>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</si>
  <si>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</si>
  <si>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</si>
  <si>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</si>
  <si>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</si>
  <si>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</si>
  <si>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</si>
  <si>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</si>
  <si>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</si>
  <si>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</si>
  <si>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</si>
  <si>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</si>
  <si>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</si>
  <si>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</si>
  <si>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</si>
  <si>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</si>
  <si>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</si>
  <si>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</si>
  <si>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</si>
  <si>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</si>
  <si>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</si>
  <si>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</si>
  <si>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</si>
  <si>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</si>
  <si>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</si>
  <si>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</si>
  <si>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</si>
  <si>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</si>
  <si>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</si>
  <si>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</si>
  <si>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</si>
  <si>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</si>
  <si>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</si>
  <si>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</si>
  <si>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</si>
  <si>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</si>
  <si>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</si>
  <si>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</si>
  <si>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</si>
  <si>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</si>
  <si>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</si>
  <si>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</si>
  <si>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</si>
  <si>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</si>
  <si>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</si>
  <si>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</si>
  <si>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</si>
  <si>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</si>
  <si>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</si>
  <si>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</si>
  <si>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</si>
  <si>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</si>
  <si>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</si>
  <si>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</si>
  <si>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</si>
  <si>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</si>
  <si>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</si>
  <si>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</si>
  <si>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</si>
  <si>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</si>
  <si>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</si>
  <si>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</si>
  <si>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</si>
  <si>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</si>
  <si>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</si>
  <si>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</si>
  <si>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</si>
  <si>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</si>
  <si>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</si>
  <si>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</si>
  <si>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</si>
  <si>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</si>
  <si>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</si>
  <si>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</si>
  <si>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</si>
  <si>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</si>
  <si>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</si>
  <si>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</si>
  <si>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</si>
  <si>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</si>
  <si>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</si>
  <si>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</si>
  <si>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</si>
  <si>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</si>
  <si>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</si>
  <si>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</si>
  <si>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</si>
  <si>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</si>
  <si>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</si>
  <si>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</si>
  <si>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</si>
  <si>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</si>
  <si>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</si>
  <si>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</si>
  <si>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</si>
  <si>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</si>
  <si>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</si>
  <si>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</si>
  <si>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</si>
  <si>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</si>
  <si>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</si>
  <si>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</si>
  <si>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</si>
  <si>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</si>
  <si>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</si>
  <si>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</si>
  <si>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</si>
  <si>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</si>
  <si>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</si>
  <si>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</si>
  <si>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</si>
  <si>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</si>
  <si>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</si>
  <si>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</si>
  <si>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</si>
  <si>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</si>
  <si>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</si>
  <si>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</si>
  <si>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</si>
  <si>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</si>
  <si>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</si>
  <si>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</si>
  <si>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</si>
  <si>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</si>
  <si>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</si>
  <si>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</si>
  <si>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</si>
  <si>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</si>
  <si>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</si>
  <si>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</si>
  <si>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</si>
  <si>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</si>
  <si>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</si>
  <si>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</si>
  <si>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</si>
  <si>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</si>
  <si>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</si>
  <si>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</si>
  <si>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</si>
  <si>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</si>
  <si>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</si>
  <si>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</si>
  <si>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</si>
  <si>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</si>
  <si>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</si>
  <si>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</si>
  <si>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</si>
  <si>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</si>
  <si>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</si>
  <si>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</si>
  <si>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</si>
  <si>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</si>
  <si>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</si>
  <si>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</si>
  <si>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</si>
  <si>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</si>
  <si>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</si>
  <si>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</si>
  <si>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</si>
  <si>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</si>
  <si>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</si>
  <si>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</si>
  <si>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</si>
  <si>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</si>
  <si>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</si>
  <si>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</si>
  <si>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</si>
  <si>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</si>
  <si>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</si>
  <si>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</si>
  <si>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</si>
  <si>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</si>
  <si>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</si>
  <si>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</si>
  <si>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</si>
  <si>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</si>
  <si>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</si>
  <si>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</si>
  <si>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</si>
  <si>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</si>
  <si>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</si>
  <si>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</si>
  <si>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</si>
  <si>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</si>
  <si>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</si>
  <si>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</si>
  <si>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</si>
  <si>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</si>
  <si>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</si>
  <si>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</si>
  <si>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</si>
  <si>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</si>
  <si>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</si>
  <si>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</si>
  <si>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</si>
  <si>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</si>
  <si>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</si>
  <si>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</si>
  <si>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</si>
  <si>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</si>
  <si>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</si>
  <si>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</si>
  <si>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</si>
  <si>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</si>
  <si>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</si>
  <si>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</si>
  <si>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</si>
  <si>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</si>
  <si>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</si>
  <si>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</si>
  <si>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</si>
  <si>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</si>
  <si>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</si>
  <si>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</si>
  <si>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</si>
  <si>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</si>
  <si>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</si>
  <si>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</si>
  <si>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</si>
  <si>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</si>
  <si>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</si>
  <si>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</si>
  <si>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</si>
  <si>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</si>
  <si>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</si>
  <si>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</si>
  <si>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</si>
  <si>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</si>
  <si>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</si>
  <si>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</si>
  <si>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</si>
  <si>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</si>
  <si>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</si>
  <si>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</si>
  <si>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</si>
  <si>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</si>
  <si>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</si>
  <si>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</si>
  <si>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</si>
  <si>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</si>
  <si>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</si>
  <si>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</si>
  <si>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</si>
  <si>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</si>
  <si>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</si>
  <si>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</si>
  <si>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</si>
  <si>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</si>
  <si>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</si>
  <si>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</si>
  <si>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</si>
  <si>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</si>
  <si>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</si>
  <si>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</si>
  <si>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</si>
  <si>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</si>
  <si>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</si>
  <si>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</si>
  <si>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</si>
  <si>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</si>
  <si>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</si>
  <si>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</si>
  <si>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</si>
  <si>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</si>
  <si>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</si>
  <si>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</si>
  <si>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</si>
  <si>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</si>
  <si>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</si>
  <si>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</si>
  <si>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</si>
  <si>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</si>
  <si>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</si>
  <si>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</si>
  <si>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</si>
  <si>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</si>
  <si>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</si>
  <si>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</si>
  <si>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</si>
  <si>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</si>
  <si>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</si>
  <si>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</si>
  <si>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</si>
  <si>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</si>
  <si>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</si>
  <si>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</si>
  <si>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</si>
  <si>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</si>
  <si>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</si>
  <si>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</si>
  <si>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</si>
  <si>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</si>
  <si>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</si>
  <si>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</si>
  <si>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</si>
  <si>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</si>
  <si>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</si>
  <si>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</si>
  <si>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</si>
  <si>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</si>
  <si>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</si>
  <si>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</si>
  <si>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</si>
  <si>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</si>
  <si>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</si>
  <si>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</si>
  <si>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</si>
  <si>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</si>
  <si>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</si>
  <si>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</si>
  <si>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</si>
  <si>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</si>
  <si>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</si>
  <si>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</si>
  <si>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</si>
  <si>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</si>
  <si>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</si>
  <si>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</si>
  <si>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</si>
  <si>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</si>
  <si>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</si>
  <si>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</si>
  <si>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</si>
  <si>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</si>
  <si>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</si>
  <si>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</si>
  <si>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</si>
  <si>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</si>
  <si>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</si>
  <si>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</si>
  <si>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</si>
  <si>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</si>
  <si>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</si>
  <si>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</si>
  <si>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</si>
  <si>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</si>
  <si>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</si>
  <si>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</si>
  <si>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</si>
  <si>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</si>
  <si>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</si>
  <si>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</si>
  <si>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</si>
  <si>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</si>
  <si>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</si>
  <si>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</si>
  <si>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</si>
  <si>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</si>
  <si>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</si>
  <si>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</si>
  <si>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</si>
  <si>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</si>
  <si>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</si>
  <si>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</si>
  <si>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</si>
  <si>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</si>
  <si>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</si>
  <si>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</si>
  <si>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</si>
  <si>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</si>
  <si>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</si>
  <si>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</si>
  <si>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</si>
  <si>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</si>
  <si>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</si>
  <si>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</si>
  <si>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</si>
  <si>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</si>
  <si>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</si>
  <si>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</si>
  <si>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</si>
  <si>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</si>
  <si>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</si>
  <si>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</si>
  <si>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</si>
  <si>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</si>
  <si>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</si>
  <si>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</si>
  <si>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</si>
  <si>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</si>
  <si>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</si>
  <si>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</si>
  <si>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</si>
  <si>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</si>
  <si>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</si>
  <si>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</si>
  <si>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</si>
  <si>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</si>
  <si>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</si>
  <si>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</si>
  <si>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</si>
  <si>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</si>
  <si>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</si>
  <si>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</si>
  <si>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</si>
  <si>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</si>
  <si>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</si>
  <si>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</si>
  <si>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</si>
  <si>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</si>
  <si>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</si>
  <si>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</si>
  <si>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</si>
  <si>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</si>
  <si>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</si>
  <si>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</si>
  <si>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</si>
  <si>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</si>
  <si>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</si>
  <si>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</si>
  <si>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</si>
  <si>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</si>
  <si>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</si>
  <si>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</si>
  <si>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</si>
  <si>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</si>
  <si>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</si>
  <si>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</si>
  <si>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</si>
  <si>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</si>
  <si>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</si>
  <si>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</si>
  <si>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</si>
  <si>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</si>
  <si>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</si>
  <si>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</si>
  <si>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</si>
  <si>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</si>
  <si>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</si>
  <si>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</si>
  <si>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</si>
  <si>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</si>
  <si>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</si>
  <si>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</si>
  <si>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</si>
  <si>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</si>
  <si>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</si>
  <si>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</si>
  <si>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</si>
  <si>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</si>
  <si>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</si>
  <si>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</si>
  <si>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</si>
  <si>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</si>
  <si>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</si>
  <si>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</si>
  <si>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</si>
  <si>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</si>
  <si>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</si>
  <si>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</si>
  <si>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</si>
  <si>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</si>
  <si>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</si>
  <si>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</si>
  <si>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</si>
  <si>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</si>
  <si>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</si>
  <si>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</si>
  <si>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</si>
  <si>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</si>
  <si>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</si>
  <si>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</si>
  <si>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</si>
  <si>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</si>
  <si>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</si>
  <si>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</si>
  <si>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</si>
  <si>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</si>
  <si>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</si>
  <si>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</si>
  <si>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</si>
  <si>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</si>
  <si>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</si>
  <si>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</si>
  <si>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</si>
  <si>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</si>
  <si>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</si>
  <si>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</si>
  <si>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</si>
  <si>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</si>
  <si>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</si>
  <si>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</si>
  <si>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</si>
  <si>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</si>
  <si>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</si>
  <si>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</si>
  <si>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</si>
  <si>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</si>
  <si>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</si>
  <si>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</si>
  <si>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</si>
  <si>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</si>
  <si>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</si>
  <si>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</si>
  <si>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</si>
  <si>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</si>
  <si>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</si>
  <si>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</si>
  <si>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</si>
  <si>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</si>
  <si>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</si>
  <si>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</si>
  <si>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</si>
  <si>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</si>
  <si>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</si>
  <si>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</si>
  <si>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</si>
  <si>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</si>
  <si>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</si>
  <si>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</si>
  <si>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</si>
  <si>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</si>
  <si>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</si>
  <si>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</si>
  <si>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</si>
  <si>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</si>
  <si>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</si>
  <si>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</si>
  <si>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</si>
  <si>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</si>
  <si>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</si>
  <si>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</si>
  <si>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</si>
  <si>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</si>
  <si>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</si>
  <si>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</si>
  <si>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</si>
  <si>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</si>
  <si>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</si>
  <si>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</si>
  <si>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</si>
  <si>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</si>
  <si>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</si>
  <si>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</si>
  <si>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</si>
  <si>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</si>
  <si>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</si>
  <si>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</si>
  <si>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</si>
  <si>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</si>
  <si>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</si>
  <si>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</si>
  <si>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</si>
  <si>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</si>
  <si>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</si>
  <si>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</si>
  <si>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</si>
  <si>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</si>
  <si>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</si>
  <si>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</si>
  <si>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</si>
  <si>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</si>
  <si>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</si>
  <si>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</si>
  <si>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</si>
  <si>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</si>
  <si>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</si>
  <si>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</si>
  <si>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</si>
  <si>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</si>
  <si>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</si>
  <si>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</si>
  <si>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</si>
  <si>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</si>
  <si>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</si>
  <si>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</si>
  <si>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</si>
  <si>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</si>
  <si>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</si>
  <si>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</si>
  <si>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</si>
  <si>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</si>
  <si>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</si>
  <si>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</si>
  <si>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</si>
  <si>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</si>
  <si>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</si>
  <si>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</si>
  <si>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</si>
  <si>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</si>
  <si>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</si>
  <si>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</si>
  <si>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</si>
  <si>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</si>
  <si>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</si>
  <si>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</si>
  <si>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</si>
  <si>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</si>
  <si>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</si>
  <si>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</si>
  <si>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</si>
  <si>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</si>
  <si>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</si>
  <si>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</si>
  <si>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</si>
  <si>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</si>
  <si>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</si>
  <si>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</si>
  <si>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</si>
  <si>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</si>
  <si>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</si>
  <si>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</si>
  <si>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</si>
  <si>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</si>
  <si>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</si>
  <si>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</si>
  <si>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</si>
  <si>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</si>
  <si>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</si>
  <si>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</si>
  <si>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</si>
  <si>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</si>
  <si>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</si>
  <si>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</si>
  <si>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</si>
  <si>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</si>
  <si>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</si>
  <si>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</si>
  <si>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</si>
  <si>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</si>
  <si>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</si>
  <si>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</si>
  <si>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</si>
  <si>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</si>
  <si>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</si>
  <si>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</si>
  <si>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</si>
  <si>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</si>
  <si>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</si>
  <si>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</si>
  <si>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</si>
  <si>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</si>
  <si>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</si>
  <si>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</si>
  <si>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</si>
  <si>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</si>
  <si>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</si>
  <si>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</si>
  <si>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</si>
  <si>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</si>
  <si>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</si>
  <si>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</si>
  <si>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</si>
  <si>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</si>
  <si>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</si>
  <si>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</si>
  <si>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</si>
  <si>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</si>
  <si>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</si>
  <si>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</si>
  <si>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</si>
  <si>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</si>
  <si>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</si>
  <si>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</si>
  <si>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</si>
  <si>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</si>
  <si>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</si>
  <si>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</si>
  <si>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</si>
  <si>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</si>
  <si>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</si>
  <si>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</si>
  <si>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</si>
  <si>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</si>
  <si>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</si>
  <si>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</si>
  <si>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</si>
  <si>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</si>
  <si>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</si>
  <si>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</si>
  <si>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</si>
  <si>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</si>
  <si>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</si>
  <si>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</si>
  <si>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</si>
  <si>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</si>
  <si>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</si>
  <si>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</si>
  <si>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</si>
  <si>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</si>
  <si>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</si>
  <si>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</si>
  <si>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</si>
  <si>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</si>
  <si>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</si>
  <si>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</si>
  <si>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</si>
  <si>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</si>
  <si>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</si>
  <si>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</si>
  <si>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</si>
  <si>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</si>
  <si>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</si>
  <si>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</si>
  <si>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</si>
  <si>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</si>
  <si>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</si>
  <si>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</si>
  <si>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</si>
  <si>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</si>
  <si>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</si>
  <si>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</si>
  <si>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</si>
  <si>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</si>
  <si>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</si>
  <si>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</si>
  <si>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</si>
  <si>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</si>
  <si>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</si>
  <si>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</si>
  <si>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</si>
  <si>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</si>
  <si>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</si>
  <si>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</si>
  <si>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</si>
  <si>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</si>
  <si>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</si>
  <si>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</si>
  <si>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</si>
  <si>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</si>
  <si>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</si>
  <si>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</si>
  <si>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</si>
  <si>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</si>
  <si>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</si>
  <si>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</si>
  <si>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</si>
  <si>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</si>
  <si>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</si>
  <si>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</si>
  <si>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</si>
  <si>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</si>
  <si>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</si>
  <si>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</si>
  <si>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</si>
  <si>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</si>
  <si>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</si>
  <si>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</si>
  <si>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</si>
  <si>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</si>
  <si>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</si>
  <si>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</si>
  <si>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</si>
  <si>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</si>
  <si>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</si>
  <si>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</si>
  <si>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</si>
  <si>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</si>
  <si>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</si>
  <si>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</si>
  <si>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</si>
  <si>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</si>
  <si>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</si>
  <si>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</si>
  <si>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</si>
  <si>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</si>
  <si>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</si>
  <si>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</si>
  <si>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</si>
  <si>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</si>
  <si>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</si>
  <si>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</si>
  <si>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</si>
  <si>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</si>
  <si>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</si>
  <si>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</si>
  <si>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</si>
  <si>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</si>
  <si>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</si>
  <si>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</si>
  <si>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</si>
  <si>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</si>
  <si>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</si>
  <si>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</si>
  <si>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</si>
  <si>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</si>
  <si>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</si>
  <si>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</si>
  <si>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</si>
  <si>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</si>
  <si>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</si>
  <si>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</si>
  <si>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</si>
  <si>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</si>
  <si>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</si>
  <si>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</si>
  <si>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</si>
  <si>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</si>
  <si>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</si>
  <si>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</si>
  <si>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</si>
  <si>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</si>
  <si>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</si>
  <si>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</si>
  <si>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</si>
  <si>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</si>
  <si>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</si>
  <si>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</si>
  <si>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</si>
  <si>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</si>
  <si>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</si>
  <si>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</si>
  <si>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</si>
  <si>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</si>
  <si>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</si>
  <si>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</si>
  <si>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</si>
  <si>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</si>
  <si>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</si>
  <si>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</si>
  <si>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</si>
  <si>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</si>
  <si>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</si>
  <si>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</si>
  <si>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</si>
  <si>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</si>
  <si>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</si>
  <si>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</si>
  <si>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</si>
  <si>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</si>
  <si>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</si>
  <si>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</si>
  <si>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</si>
  <si>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</si>
  <si>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</si>
  <si>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</si>
  <si>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</si>
  <si>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</si>
  <si>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</si>
  <si>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</si>
  <si>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</si>
  <si>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</si>
  <si>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</si>
  <si>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</si>
  <si>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</si>
  <si>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</si>
  <si>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</si>
  <si>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</si>
  <si>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</si>
  <si>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</si>
  <si>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</si>
  <si>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</si>
  <si>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</si>
  <si>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</si>
  <si>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</si>
  <si>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</si>
  <si>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</si>
  <si>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</si>
  <si>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</si>
  <si>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</si>
  <si>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</si>
  <si>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</si>
  <si>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</si>
  <si>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</si>
  <si>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</si>
  <si>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</si>
  <si>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</si>
  <si>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</si>
  <si>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</si>
  <si>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</si>
  <si>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</si>
  <si>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</si>
  <si>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</si>
  <si>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</si>
  <si>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</si>
  <si>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</si>
  <si>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</si>
  <si>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</si>
  <si>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</si>
  <si>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</si>
  <si>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</si>
  <si>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</si>
  <si>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</si>
  <si>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</si>
  <si>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</si>
  <si>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</si>
  <si>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</si>
  <si>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</si>
  <si>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</si>
  <si>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</si>
  <si>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</si>
  <si>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</si>
  <si>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</si>
  <si>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</si>
  <si>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</si>
  <si>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</si>
  <si>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</si>
  <si>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</si>
  <si>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</si>
  <si>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</si>
  <si>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</si>
  <si>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</si>
  <si>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</si>
  <si>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</si>
  <si>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</si>
  <si>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</si>
  <si>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</si>
  <si>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</si>
  <si>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</si>
  <si>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</si>
  <si>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</si>
  <si>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</si>
  <si>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</si>
  <si>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</si>
  <si>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</si>
  <si>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</si>
  <si>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</si>
  <si>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</si>
  <si>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</si>
  <si>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</si>
  <si>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</si>
  <si>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</si>
  <si>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</si>
  <si>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</si>
  <si>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</si>
  <si>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</si>
  <si>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</si>
  <si>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</si>
  <si>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</si>
  <si>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</si>
  <si>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</si>
  <si>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</si>
  <si>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</si>
  <si>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</si>
  <si>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</si>
  <si>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</si>
  <si>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</si>
  <si>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</si>
  <si>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</si>
  <si>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</si>
  <si>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</si>
  <si>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</si>
  <si>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</si>
  <si>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</si>
  <si>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</si>
  <si>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</si>
  <si>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</si>
  <si>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</si>
  <si>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</si>
  <si>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</si>
  <si>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</si>
  <si>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</si>
  <si>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</si>
  <si>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</si>
  <si>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</si>
  <si>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</si>
  <si>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</si>
  <si>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</si>
  <si>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</si>
  <si>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</si>
  <si>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</si>
  <si>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</si>
  <si>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</si>
  <si>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</si>
  <si>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</si>
  <si>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</si>
  <si>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</si>
  <si>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</si>
  <si>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</si>
  <si>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</si>
  <si>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</si>
  <si>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</si>
  <si>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</si>
  <si>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</si>
  <si>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</si>
  <si>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</si>
  <si>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</si>
  <si>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</si>
  <si>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</si>
  <si>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</si>
  <si>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</si>
  <si>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</si>
  <si>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</si>
  <si>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</si>
  <si>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</si>
  <si>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</si>
  <si>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</si>
  <si>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</si>
  <si>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</si>
  <si>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</si>
  <si>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</si>
  <si>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</si>
  <si>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</si>
  <si>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</si>
  <si>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</si>
  <si>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</si>
  <si>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</si>
  <si>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</si>
  <si>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</si>
  <si>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</si>
  <si>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</si>
  <si>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</si>
  <si>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</si>
  <si>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</si>
  <si>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</si>
  <si>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</si>
  <si>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</si>
  <si>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</si>
  <si>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</si>
  <si>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</si>
  <si>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</si>
  <si>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</si>
  <si>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</si>
  <si>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</si>
  <si>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</si>
  <si>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</si>
  <si>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</si>
  <si>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</si>
  <si>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</si>
  <si>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</si>
  <si>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</si>
  <si>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</si>
  <si>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</si>
  <si>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</si>
  <si>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</si>
  <si>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</si>
  <si>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</si>
  <si>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</si>
  <si>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</si>
  <si>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</si>
  <si>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</si>
  <si>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</si>
  <si>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</si>
  <si>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</si>
  <si>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</si>
  <si>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</si>
  <si>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</si>
  <si>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</si>
  <si>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</si>
  <si>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</si>
  <si>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</si>
  <si>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</si>
  <si>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</si>
  <si>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</si>
  <si>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</si>
  <si>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</si>
  <si>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</si>
  <si>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</si>
  <si>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</si>
  <si>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</si>
  <si>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</si>
  <si>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</si>
  <si>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</si>
  <si>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</si>
  <si>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</si>
  <si>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</si>
  <si>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</si>
  <si>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</si>
  <si>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</si>
  <si>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</si>
  <si>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</si>
  <si>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</si>
  <si>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</si>
  <si>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</si>
  <si>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</si>
  <si>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</si>
  <si>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</si>
  <si>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</si>
  <si>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</si>
  <si>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</si>
  <si>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</si>
  <si>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</si>
  <si>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</si>
  <si>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</si>
  <si>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</si>
  <si>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</si>
  <si>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</si>
  <si>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</si>
  <si>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</si>
  <si>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</si>
  <si>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</si>
  <si>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</si>
  <si>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</si>
  <si>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</si>
  <si>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</si>
  <si>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</si>
  <si>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</si>
  <si>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</si>
  <si>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</si>
  <si>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</si>
  <si>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</si>
  <si>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</si>
  <si>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</si>
  <si>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</si>
  <si>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</si>
  <si>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</si>
  <si>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</si>
  <si>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</si>
  <si>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</si>
  <si>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</si>
  <si>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</si>
  <si>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</si>
  <si>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</si>
  <si>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</si>
  <si>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</si>
  <si>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</si>
  <si>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</si>
  <si>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</si>
  <si>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</si>
  <si>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</si>
  <si>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</si>
  <si>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</si>
  <si>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</si>
  <si>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</si>
  <si>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</si>
  <si>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</si>
  <si>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</si>
  <si>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</si>
  <si>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</si>
  <si>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</si>
  <si>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</si>
  <si>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</si>
  <si>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</si>
  <si>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</si>
  <si>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</si>
  <si>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</si>
  <si>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</si>
  <si>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</si>
  <si>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</si>
  <si>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</si>
  <si>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</si>
  <si>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</si>
  <si>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</si>
  <si>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</si>
  <si>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</si>
  <si>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</si>
  <si>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</si>
  <si>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</si>
  <si>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</si>
  <si>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</si>
  <si>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</si>
  <si>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</si>
  <si>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</si>
  <si>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</si>
  <si>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</si>
  <si>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</si>
  <si>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</si>
  <si>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</si>
  <si>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</si>
  <si>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</si>
  <si>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</si>
  <si>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</si>
  <si>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</si>
  <si>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</si>
  <si>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</si>
  <si>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</si>
  <si>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</si>
  <si>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</si>
  <si>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</si>
  <si>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</si>
  <si>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</si>
  <si>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</si>
  <si>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</si>
  <si>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</si>
  <si>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</si>
  <si>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</si>
  <si>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</si>
  <si>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</si>
  <si>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</si>
  <si>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</si>
  <si>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</si>
  <si>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</si>
  <si>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</si>
  <si>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</si>
  <si>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</si>
  <si>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</si>
  <si>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</si>
  <si>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</si>
  <si>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</si>
  <si>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</si>
  <si>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</si>
  <si>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</si>
  <si>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</si>
  <si>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</si>
  <si>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</si>
  <si>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</si>
  <si>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</si>
  <si>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</si>
  <si>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</si>
  <si>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</si>
  <si>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</si>
  <si>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</si>
  <si>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</si>
  <si>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</si>
  <si>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</si>
  <si>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</si>
  <si>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</si>
  <si>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</si>
  <si>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</si>
  <si>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</si>
  <si>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</si>
  <si>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</si>
  <si>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</si>
  <si>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</si>
  <si>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</si>
  <si>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</si>
  <si>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</si>
  <si>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</si>
  <si>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</si>
  <si>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</si>
  <si>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</si>
  <si>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</si>
  <si>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</si>
  <si>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</si>
  <si>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</si>
  <si>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</si>
  <si>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</si>
  <si>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</si>
  <si>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</si>
  <si>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</si>
  <si>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</si>
  <si>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</si>
  <si>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</si>
  <si>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</si>
  <si>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</si>
  <si>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</si>
  <si>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</si>
  <si>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</si>
  <si>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</si>
  <si>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</si>
  <si>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</si>
  <si>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</si>
  <si>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</si>
  <si>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</si>
  <si>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</si>
  <si>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</si>
  <si>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</si>
  <si>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</si>
  <si>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</si>
  <si>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</si>
  <si>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</si>
  <si>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</si>
  <si>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</si>
  <si>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</si>
  <si>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</si>
  <si>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</si>
  <si>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</si>
  <si>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</si>
  <si>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</si>
  <si>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</si>
  <si>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</si>
  <si>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</si>
  <si>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</si>
  <si>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</si>
  <si>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</si>
  <si>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</si>
  <si>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</si>
  <si>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</si>
  <si>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</si>
  <si>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</si>
  <si>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</si>
  <si>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</si>
  <si>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</si>
  <si>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</si>
  <si>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</si>
  <si>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</si>
  <si>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</si>
  <si>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</si>
  <si>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</si>
  <si>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</si>
  <si>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</si>
  <si>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</si>
  <si>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</si>
  <si>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</si>
  <si>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</si>
  <si>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</si>
  <si>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</si>
  <si>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</si>
  <si>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</si>
  <si>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</si>
  <si>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</si>
  <si>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</si>
  <si>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</si>
  <si>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</si>
  <si>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</si>
  <si>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</si>
  <si>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</si>
  <si>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</si>
  <si>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</si>
  <si>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</si>
  <si>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</si>
  <si>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</si>
  <si>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</si>
  <si>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</si>
  <si>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</si>
  <si>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</si>
  <si>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</si>
  <si>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</si>
  <si>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</si>
  <si>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</si>
  <si>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</si>
  <si>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</si>
  <si>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</si>
  <si>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</si>
  <si>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</si>
  <si>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</si>
  <si>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</si>
  <si>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</si>
  <si>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</si>
  <si>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</si>
  <si>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</si>
  <si>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</si>
  <si>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</si>
  <si>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</si>
  <si>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</si>
  <si>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</si>
  <si>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</si>
  <si>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</si>
  <si>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</si>
  <si>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</si>
  <si>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</si>
  <si>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</si>
  <si>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</si>
  <si>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</si>
  <si>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</si>
  <si>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</si>
  <si>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</si>
  <si>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</si>
  <si>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</si>
  <si>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</si>
  <si>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</si>
  <si>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</si>
  <si>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</si>
  <si>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</si>
  <si>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</si>
  <si>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</si>
  <si>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</si>
  <si>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</si>
  <si>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</si>
  <si>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</si>
  <si>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</si>
  <si>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</si>
  <si>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</si>
  <si>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</si>
  <si>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</si>
  <si>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</si>
  <si>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</si>
  <si>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</si>
  <si>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</si>
  <si>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</si>
  <si>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</si>
  <si>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</si>
  <si>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</si>
  <si>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</si>
  <si>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</si>
  <si>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</si>
  <si>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</si>
  <si>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</si>
  <si>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</si>
  <si>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</si>
  <si>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</si>
  <si>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</si>
  <si>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</si>
  <si>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</si>
  <si>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</si>
  <si>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</si>
  <si>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</si>
  <si>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</si>
  <si>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</si>
  <si>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</si>
  <si>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</si>
  <si>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</si>
  <si>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</si>
  <si>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</si>
  <si>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</si>
  <si>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</si>
  <si>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</si>
  <si>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</si>
  <si>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</si>
  <si>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</si>
  <si>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</si>
  <si>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</si>
  <si>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</si>
  <si>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</si>
  <si>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</si>
  <si>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</si>
  <si>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</si>
  <si>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</si>
  <si>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</si>
  <si>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</si>
  <si>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</si>
  <si>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</si>
  <si>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</si>
  <si>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</si>
  <si>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</si>
  <si>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</si>
  <si>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</si>
  <si>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</si>
  <si>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</si>
  <si>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</si>
  <si>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</si>
  <si>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</si>
  <si>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</si>
  <si>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</si>
  <si>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</si>
  <si>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</si>
  <si>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</si>
  <si>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</si>
  <si>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</si>
  <si>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</si>
  <si>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</si>
  <si>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</si>
  <si>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</si>
  <si>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</si>
  <si>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</si>
  <si>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</si>
  <si>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</si>
  <si>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</si>
  <si>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</si>
  <si>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</si>
  <si>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</si>
  <si>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</si>
  <si>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</si>
  <si>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</si>
  <si>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</si>
  <si>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</si>
  <si>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</si>
  <si>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</si>
  <si>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</si>
  <si>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</si>
  <si>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</si>
  <si>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</si>
  <si>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</si>
  <si>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</si>
  <si>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</si>
  <si>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</si>
  <si>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</si>
  <si>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</si>
  <si>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</si>
  <si>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</si>
  <si>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</si>
  <si>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</si>
  <si>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</si>
  <si>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</si>
  <si>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</si>
  <si>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</si>
  <si>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</si>
  <si>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</si>
  <si>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</si>
  <si>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</si>
  <si>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</si>
  <si>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</si>
  <si>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</si>
  <si>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</si>
  <si>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</si>
  <si>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</si>
  <si>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</si>
  <si>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</si>
  <si>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</si>
  <si>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</si>
  <si>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</si>
  <si>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</si>
  <si>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</si>
  <si>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</si>
  <si>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</si>
  <si>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</si>
  <si>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</si>
  <si>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</si>
  <si>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</si>
  <si>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</si>
  <si>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</si>
  <si>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</si>
  <si>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</si>
  <si>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</si>
  <si>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</si>
  <si>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</si>
  <si>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</si>
  <si>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</si>
  <si>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</si>
  <si>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</si>
  <si>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</si>
  <si>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</si>
  <si>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</si>
  <si>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</si>
  <si>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</si>
  <si>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</si>
  <si>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</si>
  <si>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</si>
  <si>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</si>
  <si>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</si>
  <si>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</si>
  <si>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</si>
  <si>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</si>
  <si>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</si>
  <si>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</si>
  <si>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</si>
  <si>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</si>
  <si>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</si>
  <si>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</si>
  <si>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</si>
  <si>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</si>
  <si>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</si>
  <si>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</si>
  <si>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</si>
  <si>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</si>
  <si>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</si>
  <si>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</si>
  <si>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</si>
  <si>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</si>
  <si>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</si>
  <si>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</si>
  <si>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</si>
  <si>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</si>
  <si>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</si>
  <si>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</si>
  <si>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</si>
  <si>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</si>
  <si>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</si>
  <si>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</si>
  <si>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</si>
  <si>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</si>
  <si>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</si>
  <si>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</si>
  <si>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</si>
  <si>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</si>
  <si>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</si>
  <si>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</si>
  <si>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</si>
  <si>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</si>
  <si>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</si>
  <si>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</si>
  <si>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</si>
  <si>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</si>
  <si>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</si>
  <si>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</si>
  <si>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</si>
  <si>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</si>
  <si>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</si>
  <si>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</si>
  <si>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</si>
  <si>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</si>
  <si>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</si>
  <si>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</si>
  <si>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</si>
  <si>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</si>
  <si>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</si>
  <si>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</si>
  <si>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</si>
  <si>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</si>
  <si>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</si>
  <si>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</si>
  <si>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</si>
  <si>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</si>
  <si>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</si>
  <si>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</si>
  <si>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</si>
  <si>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</si>
  <si>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</si>
  <si>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</si>
  <si>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</si>
  <si>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</si>
  <si>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</si>
  <si>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</si>
  <si>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</si>
  <si>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</si>
  <si>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</si>
  <si>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</si>
  <si>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</si>
  <si>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</si>
  <si>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</si>
  <si>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</si>
  <si>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</si>
  <si>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</si>
  <si>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</si>
  <si>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</si>
  <si>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</si>
  <si>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</si>
  <si>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</si>
  <si>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</si>
  <si>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</si>
  <si>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</si>
  <si>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</si>
  <si>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</si>
  <si>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</si>
  <si>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</si>
  <si>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</si>
  <si>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</si>
  <si>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</si>
  <si>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</si>
  <si>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</si>
  <si>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</si>
  <si>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</si>
  <si>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</si>
  <si>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</si>
  <si>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</si>
  <si>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</si>
  <si>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</si>
  <si>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</si>
  <si>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</si>
  <si>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</si>
  <si>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</si>
  <si>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</si>
  <si>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</si>
  <si>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</si>
  <si>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</si>
  <si>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</si>
  <si>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</si>
  <si>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</si>
  <si>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</si>
  <si>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</si>
  <si>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</si>
  <si>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</si>
  <si>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</si>
  <si>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</si>
  <si>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</si>
  <si>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</si>
  <si>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</si>
  <si>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</si>
  <si>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</si>
  <si>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</si>
  <si>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</si>
  <si>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</si>
  <si>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</si>
  <si>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</si>
  <si>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</si>
  <si>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</si>
  <si>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</si>
  <si>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</si>
  <si>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</si>
  <si>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</si>
  <si>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</si>
  <si>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</si>
  <si>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</si>
  <si>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</si>
  <si>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</si>
  <si>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</si>
  <si>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</si>
  <si>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</si>
  <si>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</si>
  <si>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</si>
  <si>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</si>
  <si>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</si>
  <si>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</si>
  <si>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</si>
  <si>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</si>
  <si>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</si>
  <si>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</si>
  <si>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</si>
  <si>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</si>
  <si>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</si>
  <si>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</si>
  <si>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</si>
  <si>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</si>
  <si>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</si>
  <si>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</si>
  <si>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</si>
  <si>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</si>
  <si>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</si>
  <si>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</si>
  <si>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</si>
  <si>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</si>
  <si>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</si>
  <si>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</si>
  <si>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</si>
  <si>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</si>
  <si>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</si>
  <si>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</si>
  <si>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</si>
  <si>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</si>
  <si>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</si>
  <si>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</si>
  <si>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</si>
  <si>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</si>
  <si>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</si>
  <si>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</si>
  <si>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</si>
  <si>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</si>
  <si>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</si>
  <si>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</si>
  <si>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</si>
  <si>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</si>
  <si>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</si>
  <si>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</si>
  <si>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</si>
  <si>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</si>
  <si>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</si>
  <si>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</si>
  <si>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</si>
  <si>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</si>
  <si>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</si>
  <si>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</si>
  <si>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</si>
  <si>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</si>
  <si>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</si>
  <si>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</si>
  <si>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</si>
  <si>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</si>
  <si>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</si>
  <si>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</si>
  <si>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</si>
  <si>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</si>
  <si>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</si>
  <si>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</si>
  <si>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</si>
  <si>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</si>
  <si>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</si>
  <si>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</si>
  <si>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</si>
  <si>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</si>
  <si>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</si>
  <si>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</si>
  <si>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</si>
  <si>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</si>
  <si>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</si>
  <si>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</si>
  <si>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</si>
  <si>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</si>
  <si>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</si>
  <si>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</si>
  <si>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</si>
  <si>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</si>
  <si>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</si>
  <si>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</si>
  <si>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</si>
  <si>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</si>
  <si>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</si>
  <si>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</si>
  <si>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</si>
  <si>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</si>
  <si>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</si>
  <si>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</si>
  <si>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</si>
  <si>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</si>
  <si>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</si>
  <si>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</si>
  <si>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</si>
  <si>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</si>
  <si>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</si>
  <si>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</si>
  <si>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</si>
  <si>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</si>
  <si>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</si>
  <si>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</si>
  <si>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</si>
  <si>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</si>
  <si>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</si>
  <si>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</si>
  <si>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</si>
  <si>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</si>
  <si>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</si>
  <si>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</si>
  <si>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</si>
  <si>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</si>
  <si>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</si>
  <si>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</si>
  <si>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</si>
  <si>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</si>
  <si>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</si>
  <si>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</si>
  <si>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</si>
  <si>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</si>
  <si>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</si>
  <si>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</si>
  <si>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</si>
  <si>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</si>
  <si>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</si>
  <si>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</si>
  <si>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</si>
  <si>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</si>
  <si>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</si>
  <si>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</si>
  <si>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</si>
  <si>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</si>
  <si>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</si>
  <si>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</si>
  <si>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</si>
  <si>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</si>
  <si>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</si>
  <si>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</si>
  <si>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</si>
  <si>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</si>
  <si>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</si>
  <si>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</si>
  <si>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</si>
  <si>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</si>
  <si>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</si>
  <si>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</si>
  <si>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</si>
  <si>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</si>
  <si>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</si>
  <si>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</si>
  <si>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</si>
  <si>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</si>
  <si>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</si>
  <si>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</si>
  <si>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</si>
  <si>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</si>
  <si>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</si>
  <si>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</si>
  <si>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</si>
  <si>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</si>
  <si>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</si>
  <si>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</si>
  <si>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</si>
  <si>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</si>
  <si>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</si>
  <si>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</si>
  <si>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</si>
  <si>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</si>
  <si>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</si>
  <si>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</si>
  <si>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</si>
  <si>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</si>
  <si>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</si>
  <si>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</si>
  <si>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</si>
  <si>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</si>
  <si>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</si>
  <si>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</si>
  <si>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</si>
  <si>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</si>
  <si>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</si>
  <si>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</si>
  <si>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</si>
  <si>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</si>
  <si>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</si>
  <si>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</si>
  <si>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</si>
  <si>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</si>
  <si>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</si>
  <si>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</si>
  <si>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</si>
  <si>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</si>
  <si>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</si>
  <si>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</si>
  <si>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</si>
  <si>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</si>
  <si>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</si>
  <si>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</si>
  <si>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</si>
  <si>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</si>
  <si>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</si>
  <si>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</si>
  <si>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</si>
  <si>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</si>
  <si>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</si>
  <si>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</si>
  <si>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</si>
  <si>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</si>
  <si>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</si>
  <si>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</si>
  <si>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</si>
  <si>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</si>
  <si>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</si>
  <si>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</si>
  <si>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</si>
  <si>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</si>
  <si>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</si>
  <si>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</si>
  <si>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</si>
  <si>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</si>
  <si>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</si>
  <si>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</si>
  <si>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</si>
  <si>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</si>
  <si>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</si>
  <si>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</si>
  <si>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</si>
  <si>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</si>
  <si>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</si>
  <si>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</si>
  <si>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</si>
  <si>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</si>
  <si>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</si>
  <si>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</si>
  <si>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</si>
  <si>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</si>
  <si>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</si>
  <si>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</si>
  <si>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</si>
  <si>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</si>
  <si>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</si>
  <si>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</si>
  <si>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</si>
  <si>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</si>
  <si>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</si>
  <si>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</si>
  <si>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</si>
  <si>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</si>
  <si>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</si>
  <si>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</si>
  <si>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</si>
  <si>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</si>
  <si>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</si>
  <si>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</si>
  <si>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</si>
  <si>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</si>
  <si>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</si>
  <si>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</si>
  <si>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</si>
  <si>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</si>
  <si>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</si>
  <si>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</si>
  <si>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</si>
  <si>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</si>
  <si>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</si>
  <si>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</si>
  <si>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</si>
  <si>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</si>
  <si>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</si>
  <si>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</si>
  <si>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</si>
  <si>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</si>
  <si>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</si>
  <si>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</si>
  <si>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</si>
  <si>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</si>
  <si>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</si>
  <si>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</si>
  <si>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</si>
  <si>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</si>
  <si>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</si>
  <si>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</si>
  <si>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</si>
  <si>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</si>
  <si>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</si>
  <si>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</si>
  <si>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</si>
  <si>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</si>
  <si>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</si>
  <si>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</si>
  <si>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</si>
  <si>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</si>
  <si>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</si>
  <si>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</si>
  <si>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</si>
  <si>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</si>
  <si>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</si>
  <si>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</si>
  <si>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</si>
  <si>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</si>
  <si>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</si>
  <si>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</si>
  <si>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</si>
  <si>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</si>
  <si>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</si>
  <si>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</si>
  <si>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</si>
  <si>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</si>
  <si>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</si>
  <si>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</si>
  <si>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</si>
  <si>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</si>
  <si>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</si>
  <si>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</si>
  <si>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</si>
  <si>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</si>
  <si>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</si>
  <si>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</si>
  <si>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</si>
  <si>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</si>
  <si>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</si>
  <si>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</si>
  <si>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</si>
  <si>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</si>
  <si>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</si>
  <si>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</si>
  <si>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</si>
  <si>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</si>
  <si>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</si>
  <si>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</si>
  <si>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</si>
  <si>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</si>
  <si>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</si>
  <si>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</si>
  <si>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</si>
  <si>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</si>
  <si>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</si>
  <si>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</si>
  <si>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</si>
  <si>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</si>
  <si>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</si>
  <si>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</si>
  <si>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</si>
  <si>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</si>
  <si>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</si>
  <si>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</si>
  <si>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</si>
  <si>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</si>
  <si>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</si>
  <si>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</si>
  <si>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</si>
  <si>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</si>
  <si>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</si>
  <si>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</si>
  <si>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</si>
  <si>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</si>
  <si>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</si>
  <si>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</si>
  <si>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</si>
  <si>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</si>
  <si>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</si>
  <si>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</si>
  <si>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</si>
  <si>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</si>
  <si>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</si>
  <si>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</si>
  <si>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</si>
  <si>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</si>
  <si>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</si>
  <si>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</si>
  <si>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</si>
  <si>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</si>
  <si>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</si>
  <si>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</si>
  <si>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</si>
  <si>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</si>
  <si>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</si>
  <si>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</si>
  <si>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</si>
  <si>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</si>
  <si>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</si>
  <si>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</si>
  <si>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</si>
  <si>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</si>
  <si>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</si>
  <si>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</si>
  <si>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</si>
  <si>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</si>
  <si>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</si>
  <si>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</si>
  <si>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</si>
  <si>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</si>
  <si>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</si>
  <si>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</si>
  <si>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</si>
  <si>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</si>
  <si>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</si>
  <si>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</si>
  <si>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</si>
  <si>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</si>
  <si>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</si>
  <si>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</si>
  <si>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</si>
  <si>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</si>
  <si>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</si>
  <si>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</si>
  <si>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</si>
  <si>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</si>
  <si>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</si>
  <si>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</si>
  <si>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</si>
  <si>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</si>
  <si>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</si>
  <si>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</si>
  <si>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</si>
  <si>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</si>
  <si>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</si>
  <si>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</si>
  <si>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</si>
  <si>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</si>
  <si>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</si>
  <si>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</si>
  <si>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</si>
  <si>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</si>
  <si>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</si>
  <si>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</si>
  <si>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</si>
  <si>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</si>
  <si>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</si>
  <si>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</si>
  <si>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</si>
  <si>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</si>
  <si>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</si>
  <si>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</si>
  <si>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</si>
  <si>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</si>
  <si>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</si>
  <si>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</si>
  <si>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</si>
  <si>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</si>
  <si>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</si>
  <si>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</si>
  <si>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</si>
  <si>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</si>
  <si>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</si>
  <si>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</si>
  <si>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</si>
  <si>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</si>
  <si>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</si>
  <si>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</si>
  <si>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</si>
  <si>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</si>
  <si>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</si>
  <si>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</si>
  <si>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</si>
  <si>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</si>
  <si>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</si>
  <si>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</si>
  <si>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</si>
  <si>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</si>
  <si>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</si>
  <si>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</si>
  <si>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</si>
  <si>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</si>
  <si>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</si>
  <si>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</si>
  <si>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</si>
  <si>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</si>
  <si>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</si>
  <si>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</si>
  <si>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</si>
  <si>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</si>
  <si>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</si>
  <si>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</si>
  <si>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</si>
  <si>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</si>
  <si>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</si>
  <si>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</si>
  <si>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</si>
  <si>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</si>
  <si>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</si>
  <si>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</si>
  <si>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</si>
  <si>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</si>
  <si>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</si>
  <si>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</si>
  <si>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</si>
  <si>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</si>
  <si>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</si>
  <si>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</si>
  <si>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</si>
  <si>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</si>
  <si>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</si>
  <si>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</si>
  <si>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</si>
  <si>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</si>
  <si>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</si>
  <si>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</si>
  <si>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</si>
  <si>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</si>
  <si>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</si>
  <si>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</si>
  <si>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</si>
  <si>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</si>
  <si>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</si>
  <si>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</si>
  <si>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</si>
  <si>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</si>
  <si>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</si>
  <si>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</si>
  <si>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</si>
  <si>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</si>
  <si>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</si>
  <si>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</si>
  <si>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</si>
  <si>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</si>
  <si>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</si>
  <si>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</si>
  <si>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</si>
  <si>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</si>
  <si>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</si>
  <si>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</si>
  <si>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</si>
  <si>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</si>
  <si>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</si>
  <si>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</si>
  <si>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</si>
  <si>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</si>
  <si>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</si>
  <si>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</si>
  <si>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</si>
  <si>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</si>
  <si>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</si>
  <si>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</si>
  <si>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</si>
  <si>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</si>
  <si>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</si>
  <si>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</si>
  <si>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</si>
  <si>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</si>
  <si>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</si>
  <si>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</si>
  <si>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</si>
  <si>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</si>
  <si>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</si>
  <si>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</si>
  <si>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</si>
  <si>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</si>
  <si>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</si>
  <si>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</si>
  <si>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</si>
  <si>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</si>
  <si>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</si>
  <si>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</si>
  <si>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</si>
  <si>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</si>
  <si>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</si>
  <si>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</si>
  <si>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</si>
  <si>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</si>
  <si>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</si>
  <si>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</si>
  <si>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</si>
  <si>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</si>
  <si>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</si>
  <si>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</si>
  <si>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</si>
  <si>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</si>
  <si>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</si>
  <si>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</si>
  <si>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</si>
  <si>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</si>
  <si>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</si>
  <si>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</si>
  <si>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</si>
  <si>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</si>
  <si>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</si>
  <si>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</si>
  <si>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</si>
  <si>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</si>
  <si>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</si>
  <si>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</si>
  <si>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</si>
  <si>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</si>
  <si>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</si>
  <si>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</si>
  <si>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</si>
  <si>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</si>
  <si>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</si>
  <si>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</si>
  <si>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</si>
  <si>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</si>
  <si>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</si>
  <si>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</si>
  <si>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</si>
  <si>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</si>
  <si>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</si>
  <si>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</si>
  <si>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</si>
  <si>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</si>
  <si>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</si>
  <si>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</si>
  <si>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</si>
  <si>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</si>
  <si>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</si>
  <si>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</si>
  <si>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</si>
  <si>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</si>
  <si>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</si>
  <si>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</si>
  <si>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</si>
  <si>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</si>
  <si>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</si>
  <si>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</si>
  <si>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</si>
  <si>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</si>
  <si>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</si>
  <si>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</si>
  <si>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</si>
  <si>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</si>
  <si>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</si>
  <si>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</si>
  <si>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</si>
  <si>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</si>
  <si>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</si>
  <si>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</si>
  <si>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</si>
  <si>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</si>
  <si>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</si>
  <si>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</si>
  <si>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</si>
  <si>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</si>
  <si>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</si>
  <si>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</si>
  <si>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</si>
  <si>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</si>
  <si>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</si>
  <si>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</si>
  <si>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</si>
  <si>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</si>
  <si>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</si>
  <si>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</si>
  <si>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</si>
  <si>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</si>
  <si>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</si>
  <si>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</si>
  <si>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</si>
  <si>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</si>
  <si>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</si>
  <si>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</si>
  <si>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</si>
  <si>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</si>
  <si>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</si>
  <si>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</si>
  <si>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</si>
  <si>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</si>
  <si>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</si>
  <si>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</si>
  <si>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</si>
  <si>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</si>
  <si>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</si>
  <si>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</si>
  <si>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</si>
  <si>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</si>
  <si>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</si>
  <si>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</si>
  <si>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</si>
  <si>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</si>
  <si>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</si>
  <si>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</si>
  <si>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</si>
  <si>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</si>
  <si>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</si>
  <si>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</si>
  <si>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</si>
  <si>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</si>
  <si>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</si>
  <si>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</si>
  <si>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</si>
  <si>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</si>
  <si>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</si>
  <si>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</si>
  <si>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</si>
  <si>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</si>
  <si>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</si>
  <si>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</si>
  <si>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</si>
  <si>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</si>
  <si>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</si>
  <si>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</si>
  <si>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</si>
  <si>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</si>
  <si>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</si>
  <si>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</si>
  <si>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</si>
  <si>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</si>
  <si>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</si>
  <si>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</si>
  <si>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</si>
  <si>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</si>
  <si>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</si>
  <si>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</si>
  <si>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</si>
  <si>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</si>
  <si>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</si>
  <si>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</si>
  <si>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</si>
  <si>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</si>
  <si>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</si>
  <si>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</si>
  <si>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</si>
  <si>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</si>
  <si>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</si>
  <si>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</si>
  <si>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</si>
  <si>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</si>
  <si>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</si>
  <si>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</si>
  <si>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</si>
  <si>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</si>
  <si>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</si>
  <si>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</si>
  <si>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</si>
  <si>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</si>
  <si>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</si>
  <si>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</si>
  <si>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</si>
  <si>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</si>
  <si>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</si>
  <si>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</si>
  <si>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</si>
  <si>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</si>
  <si>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</si>
  <si>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</si>
  <si>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</si>
  <si>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</si>
  <si>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</si>
  <si>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</si>
  <si>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</si>
  <si>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</si>
  <si>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</si>
  <si>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</si>
  <si>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</si>
  <si>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</si>
  <si>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</si>
  <si>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</si>
  <si>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</si>
  <si>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</si>
  <si>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</si>
  <si>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</si>
  <si>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</si>
  <si>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</si>
  <si>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</si>
  <si>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</si>
  <si>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</si>
  <si>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</si>
  <si>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</si>
  <si>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</si>
  <si>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</si>
  <si>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</si>
  <si>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</si>
  <si>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</si>
  <si>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</si>
  <si>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</si>
  <si>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</si>
  <si>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</si>
  <si>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</si>
  <si>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</si>
  <si>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</si>
  <si>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</si>
  <si>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</si>
  <si>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</si>
  <si>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</si>
  <si>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</si>
  <si>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</si>
  <si>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</si>
  <si>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</si>
  <si>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</si>
  <si>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</si>
  <si>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</si>
  <si>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</si>
  <si>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</si>
  <si>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</si>
  <si>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</si>
  <si>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</si>
  <si>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</si>
  <si>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</si>
  <si>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</si>
  <si>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</si>
  <si>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</si>
  <si>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</si>
  <si>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</si>
  <si>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</si>
  <si>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</si>
  <si>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</si>
  <si>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</si>
  <si>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</si>
  <si>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</si>
  <si>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</si>
  <si>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</si>
  <si>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</si>
  <si>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</si>
  <si>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</si>
  <si>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</si>
  <si>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</si>
  <si>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</si>
  <si>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</si>
  <si>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</si>
  <si>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</si>
  <si>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</si>
  <si>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</si>
  <si>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</si>
  <si>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</si>
  <si>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</si>
  <si>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</si>
  <si>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</si>
  <si>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</si>
  <si>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</si>
  <si>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</si>
  <si>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</si>
  <si>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</si>
  <si>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</si>
  <si>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</si>
  <si>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</si>
  <si>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</si>
  <si>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</si>
  <si>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</si>
  <si>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</si>
  <si>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</si>
  <si>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</si>
  <si>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</si>
  <si>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</si>
  <si>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</si>
  <si>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</si>
  <si>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</si>
  <si>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</si>
  <si>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</si>
  <si>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</si>
  <si>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</si>
  <si>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</si>
  <si>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</si>
  <si>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</si>
  <si>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</si>
  <si>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</si>
  <si>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</si>
  <si>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</si>
  <si>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</si>
  <si>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</si>
  <si>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</si>
  <si>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</si>
  <si>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</si>
  <si>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</si>
  <si>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</si>
  <si>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</si>
  <si>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</si>
  <si>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</si>
  <si>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</si>
  <si>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</si>
  <si>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</si>
  <si>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</si>
  <si>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</si>
  <si>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</si>
  <si>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</si>
  <si>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</si>
  <si>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</si>
  <si>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</si>
  <si>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</si>
  <si>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</si>
  <si>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</si>
  <si>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</si>
  <si>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</si>
  <si>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</si>
  <si>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</si>
  <si>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</si>
  <si>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</si>
  <si>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</si>
  <si>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</si>
  <si>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</si>
  <si>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</si>
  <si>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</si>
  <si>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</si>
  <si>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</si>
  <si>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</si>
  <si>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</si>
  <si>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</si>
  <si>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</si>
  <si>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</si>
  <si>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</si>
  <si>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</si>
  <si>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</si>
  <si>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</si>
  <si>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</si>
  <si>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</si>
  <si>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</si>
  <si>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</si>
  <si>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</si>
  <si>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</si>
  <si>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</si>
  <si>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</si>
  <si>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</si>
  <si>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</si>
  <si>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</si>
  <si>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</si>
  <si>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</si>
  <si>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</si>
  <si>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</si>
  <si>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</si>
  <si>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</si>
  <si>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</si>
  <si>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</si>
  <si>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</si>
  <si>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</si>
  <si>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</si>
  <si>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</si>
  <si>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</si>
  <si>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</si>
  <si>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</si>
  <si>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</si>
  <si>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</si>
  <si>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</si>
  <si>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</si>
  <si>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</si>
  <si>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</si>
  <si>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</si>
  <si>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</si>
  <si>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</si>
  <si>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</si>
  <si>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</si>
  <si>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</si>
  <si>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</si>
  <si>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</si>
  <si>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</si>
  <si>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</si>
  <si>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</si>
  <si>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</si>
  <si>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</si>
  <si>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</si>
  <si>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</si>
  <si>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</si>
  <si>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</si>
  <si>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</si>
  <si>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</si>
  <si>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</si>
  <si>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</si>
  <si>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</si>
  <si>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</si>
  <si>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</si>
  <si>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</si>
  <si>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</si>
  <si>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</si>
  <si>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</si>
  <si>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</si>
  <si>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</si>
  <si>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</si>
  <si>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</si>
  <si>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</si>
  <si>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</si>
  <si>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</si>
  <si>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</si>
  <si>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</si>
  <si>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</si>
  <si>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</si>
  <si>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</si>
  <si>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</si>
  <si>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</si>
  <si>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</si>
  <si>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</si>
  <si>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</si>
  <si>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</si>
  <si>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</si>
  <si>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</si>
  <si>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</si>
  <si>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</si>
  <si>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</si>
  <si>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</si>
  <si>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</si>
  <si>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</si>
  <si>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</si>
  <si>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</si>
  <si>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</si>
  <si>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</si>
  <si>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</si>
  <si>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</si>
  <si>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</si>
  <si>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</si>
  <si>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</si>
  <si>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</si>
  <si>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</si>
  <si>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</si>
  <si>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</si>
  <si>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</si>
  <si>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</si>
  <si>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</si>
  <si>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</si>
  <si>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</si>
  <si>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</si>
  <si>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</si>
  <si>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</si>
  <si>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</si>
  <si>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</si>
  <si>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</si>
  <si>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</si>
  <si>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</si>
  <si>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</si>
  <si>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</si>
  <si>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</si>
  <si>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</si>
  <si>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</si>
  <si>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</si>
  <si>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</si>
  <si>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</si>
  <si>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</si>
  <si>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</si>
  <si>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</si>
  <si>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</si>
  <si>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</si>
  <si>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</si>
  <si>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</si>
  <si>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</si>
  <si>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</si>
  <si>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</si>
  <si>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</si>
  <si>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</si>
  <si>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</si>
  <si>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</si>
  <si>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</si>
  <si>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</si>
  <si>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</si>
  <si>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</si>
  <si>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</si>
  <si>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</si>
  <si>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</si>
  <si>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</si>
  <si>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</si>
  <si>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</si>
  <si>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</si>
  <si>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</si>
  <si>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</si>
  <si>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</si>
  <si>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</si>
  <si>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</si>
  <si>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</si>
  <si>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</si>
  <si>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</si>
  <si>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</si>
  <si>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</si>
  <si>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</si>
  <si>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</si>
  <si>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</si>
  <si>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</si>
  <si>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</si>
  <si>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</si>
  <si>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</si>
  <si>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</si>
  <si>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</si>
  <si>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</si>
  <si>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</si>
  <si>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</si>
  <si>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</si>
  <si>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</si>
  <si>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</si>
  <si>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</si>
  <si>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</si>
  <si>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</si>
  <si>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</si>
  <si>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</si>
  <si>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</si>
  <si>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</si>
  <si>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</si>
  <si>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</si>
  <si>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</si>
  <si>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</si>
  <si>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</si>
  <si>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</si>
  <si>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</si>
  <si>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</si>
  <si>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</si>
  <si>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</si>
  <si>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</si>
  <si>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</si>
  <si>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</si>
  <si>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</si>
  <si>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</si>
  <si>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</si>
  <si>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</si>
  <si>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</si>
  <si>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</si>
  <si>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</si>
  <si>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</si>
  <si>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</si>
  <si>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</si>
  <si>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</si>
  <si>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</si>
  <si>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</si>
  <si>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</si>
  <si>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</si>
  <si>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</si>
  <si>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</si>
  <si>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</si>
  <si>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</si>
  <si>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</si>
  <si>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</si>
  <si>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</si>
  <si>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</si>
  <si>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</si>
  <si>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</si>
  <si>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</si>
  <si>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</si>
  <si>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</si>
  <si>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</si>
  <si>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</si>
  <si>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</si>
  <si>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</si>
  <si>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</si>
  <si>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</si>
  <si>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</si>
  <si>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</si>
  <si>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</si>
  <si>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</si>
  <si>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</si>
  <si>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</si>
  <si>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</si>
  <si>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</si>
  <si>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</si>
  <si>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</si>
  <si>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</si>
  <si>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</si>
  <si>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</si>
  <si>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</si>
  <si>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</si>
  <si>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</si>
  <si>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</si>
  <si>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</si>
  <si>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</si>
  <si>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</si>
  <si>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</si>
  <si>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</si>
  <si>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</si>
  <si>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</si>
  <si>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</si>
  <si>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</si>
  <si>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</si>
  <si>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</si>
  <si>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</si>
  <si>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</si>
  <si>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</si>
  <si>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</si>
  <si>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</si>
  <si>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</si>
  <si>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</si>
  <si>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</si>
  <si>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</si>
  <si>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</si>
  <si>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</si>
  <si>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</si>
  <si>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</si>
  <si>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</si>
  <si>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</si>
  <si>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</si>
  <si>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</si>
  <si>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</si>
  <si>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</si>
  <si>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</si>
  <si>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</si>
  <si>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</si>
  <si>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</si>
  <si>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</si>
  <si>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</si>
  <si>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</si>
  <si>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</si>
  <si>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</si>
  <si>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</si>
  <si>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</si>
  <si>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</si>
  <si>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</si>
  <si>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</si>
  <si>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</si>
  <si>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</si>
  <si>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</si>
  <si>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</si>
  <si>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</si>
  <si>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</si>
  <si>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</si>
  <si>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</si>
  <si>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</si>
  <si>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</si>
  <si>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</si>
  <si>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</si>
  <si>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</si>
  <si>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</si>
  <si>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</si>
  <si>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</si>
  <si>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</si>
  <si>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</si>
  <si>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</si>
  <si>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</si>
  <si>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</si>
  <si>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</si>
  <si>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</si>
  <si>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</si>
  <si>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</si>
  <si>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</si>
  <si>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</si>
  <si>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</si>
  <si>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</si>
  <si>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</si>
  <si>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</si>
  <si>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</si>
  <si>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</si>
  <si>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</si>
  <si>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</si>
  <si>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</si>
  <si>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</si>
  <si>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</si>
  <si>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</si>
  <si>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</si>
  <si>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</si>
  <si>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</si>
  <si>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</si>
  <si>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</si>
  <si>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</si>
  <si>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</si>
  <si>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</si>
  <si>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</si>
  <si>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</si>
  <si>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</si>
  <si>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</si>
  <si>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</si>
  <si>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</si>
  <si>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</si>
  <si>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</si>
  <si>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</si>
  <si>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Ulmus sp</t>
  </si>
  <si>
    <t>Unknown sp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</si>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</sst>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0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3" t="s">
        <v>57</v>
      </c>
      <c r="B2" s="133"/>
      <c r="C2" s="133"/>
      <c r="D2" s="133"/>
      <c r="E2" s="133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5" t="s">
        <v>4805</v>
      </c>
      <c r="B22" s="135"/>
      <c r="C22" s="135"/>
      <c r="D22" s="135"/>
      <c r="E22" s="135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4" t="s">
        <v>4806</v>
      </c>
      <c r="B24" s="134"/>
      <c r="C24" s="134"/>
      <c r="D24" s="134"/>
      <c r="E24" s="134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4" t="s">
        <v>61</v>
      </c>
      <c r="B39" s="134"/>
      <c r="C39" s="134"/>
      <c r="D39" s="134"/>
      <c r="E39" s="134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4" t="s">
        <v>62</v>
      </c>
      <c r="B45" s="134"/>
      <c r="C45" s="134"/>
      <c r="D45" s="134"/>
      <c r="E45" s="134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4" t="s">
        <v>43</v>
      </c>
      <c r="B93" s="125"/>
      <c r="C93" s="126"/>
      <c r="D93" s="127" t="s">
        <v>44</v>
      </c>
      <c r="E93" s="128"/>
    </row>
    <row r="94" spans="1:5" x14ac:dyDescent="0.2">
      <c r="A94" s="67" t="s">
        <v>23</v>
      </c>
      <c r="B94" s="129" t="s">
        <v>30</v>
      </c>
      <c r="C94" s="130"/>
      <c r="D94" s="3" t="s">
        <v>46</v>
      </c>
      <c r="E94" s="9">
        <v>8</v>
      </c>
    </row>
    <row r="95" spans="1:5" x14ac:dyDescent="0.2">
      <c r="A95" s="67" t="s">
        <v>24</v>
      </c>
      <c r="B95" s="131" t="s">
        <v>31</v>
      </c>
      <c r="C95" s="132"/>
      <c r="D95" s="3" t="s">
        <v>47</v>
      </c>
      <c r="E95" s="9">
        <v>7</v>
      </c>
    </row>
    <row r="96" spans="1:5" x14ac:dyDescent="0.2">
      <c r="A96" s="67" t="s">
        <v>3</v>
      </c>
      <c r="B96" s="131" t="s">
        <v>32</v>
      </c>
      <c r="C96" s="132"/>
      <c r="D96" s="3" t="s">
        <v>48</v>
      </c>
      <c r="E96" s="9">
        <v>6</v>
      </c>
    </row>
    <row r="97" spans="1:5" x14ac:dyDescent="0.2">
      <c r="A97" s="67" t="s">
        <v>25</v>
      </c>
      <c r="B97" s="131" t="s">
        <v>33</v>
      </c>
      <c r="C97" s="132"/>
      <c r="D97" s="3" t="s">
        <v>49</v>
      </c>
      <c r="E97" s="9">
        <v>5</v>
      </c>
    </row>
    <row r="98" spans="1:5" x14ac:dyDescent="0.2">
      <c r="A98" s="67" t="s">
        <v>26</v>
      </c>
      <c r="B98" s="131" t="s">
        <v>34</v>
      </c>
      <c r="C98" s="132"/>
      <c r="D98" s="3" t="s">
        <v>50</v>
      </c>
      <c r="E98" s="9">
        <v>4</v>
      </c>
    </row>
    <row r="99" spans="1:5" x14ac:dyDescent="0.2">
      <c r="A99" s="67" t="s">
        <v>27</v>
      </c>
      <c r="B99" s="131" t="s">
        <v>35</v>
      </c>
      <c r="C99" s="132"/>
      <c r="D99" s="3" t="s">
        <v>4</v>
      </c>
      <c r="E99" s="9">
        <v>3</v>
      </c>
    </row>
    <row r="100" spans="1:5" x14ac:dyDescent="0.2">
      <c r="A100" s="67" t="s">
        <v>2</v>
      </c>
      <c r="B100" s="131" t="s">
        <v>36</v>
      </c>
      <c r="C100" s="132"/>
      <c r="D100" s="3" t="s">
        <v>5</v>
      </c>
      <c r="E100" s="9">
        <v>2</v>
      </c>
    </row>
    <row r="101" spans="1:5" x14ac:dyDescent="0.2">
      <c r="A101" s="67" t="s">
        <v>28</v>
      </c>
      <c r="B101" s="131" t="s">
        <v>37</v>
      </c>
      <c r="C101" s="132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8" t="s">
        <v>38</v>
      </c>
      <c r="C102" s="139"/>
      <c r="D102" s="5"/>
      <c r="E102" s="8"/>
    </row>
    <row r="103" spans="1:5" ht="13.5" thickBot="1" x14ac:dyDescent="0.25">
      <c r="A103" s="124" t="s">
        <v>68</v>
      </c>
      <c r="B103" s="125"/>
      <c r="C103" s="126"/>
      <c r="D103" s="127" t="s">
        <v>45</v>
      </c>
      <c r="E103" s="128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4" t="s">
        <v>21</v>
      </c>
      <c r="B112" s="125"/>
      <c r="C112" s="128"/>
    </row>
    <row r="113" spans="1:3" x14ac:dyDescent="0.2">
      <c r="A113" s="67">
        <v>1</v>
      </c>
      <c r="B113" s="129" t="s">
        <v>40</v>
      </c>
      <c r="C113" s="130"/>
    </row>
    <row r="114" spans="1:3" x14ac:dyDescent="0.2">
      <c r="A114" s="67" t="s">
        <v>39</v>
      </c>
      <c r="B114" s="131" t="s">
        <v>41</v>
      </c>
      <c r="C114" s="132"/>
    </row>
    <row r="115" spans="1:3" x14ac:dyDescent="0.2">
      <c r="A115" s="68" t="s">
        <v>15</v>
      </c>
      <c r="B115" s="136" t="s">
        <v>42</v>
      </c>
      <c r="C115" s="137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3" t="s">
        <v>127</v>
      </c>
      <c r="B1" s="133"/>
      <c r="C1" s="133"/>
      <c r="D1" s="133"/>
      <c r="E1" s="133"/>
      <c r="F1" s="133"/>
      <c r="G1" s="133"/>
      <c r="H1" s="14"/>
    </row>
    <row r="2" spans="1:14" x14ac:dyDescent="0.2">
      <c r="A2" s="142" t="s">
        <v>138</v>
      </c>
      <c r="B2" s="142"/>
      <c r="C2" s="15"/>
      <c r="D2" s="15"/>
      <c r="E2" s="15"/>
      <c r="F2" s="15"/>
      <c r="G2" s="15"/>
      <c r="H2" s="15"/>
    </row>
    <row r="3" spans="1:14" x14ac:dyDescent="0.2">
      <c r="A3" s="143" t="s">
        <v>52</v>
      </c>
      <c r="B3" s="143"/>
      <c r="C3" s="15"/>
      <c r="D3" s="15"/>
      <c r="E3" s="15"/>
      <c r="F3" s="15"/>
      <c r="G3" s="15"/>
      <c r="H3" s="15"/>
    </row>
    <row r="4" spans="1:14" x14ac:dyDescent="0.2">
      <c r="A4" s="143" t="s">
        <v>55</v>
      </c>
      <c r="B4" s="143"/>
      <c r="C4" s="15"/>
      <c r="D4" s="15"/>
      <c r="E4" s="15"/>
      <c r="F4" s="15"/>
      <c r="G4" s="15"/>
      <c r="H4" s="15"/>
    </row>
    <row r="5" spans="1:14" x14ac:dyDescent="0.2">
      <c r="A5" s="143" t="s">
        <v>51</v>
      </c>
      <c r="B5" s="143"/>
      <c r="C5" s="15"/>
      <c r="D5" s="15"/>
      <c r="E5" s="15"/>
      <c r="F5" s="15"/>
      <c r="G5" s="15"/>
      <c r="H5" s="15"/>
    </row>
    <row r="6" spans="1:14" x14ac:dyDescent="0.2">
      <c r="A6" s="140" t="s">
        <v>128</v>
      </c>
      <c r="B6" s="140"/>
    </row>
    <row r="7" spans="1:14" x14ac:dyDescent="0.2">
      <c r="A7" s="140" t="s">
        <v>129</v>
      </c>
      <c r="B7" s="140"/>
      <c r="C7" s="141"/>
      <c r="D7" s="141"/>
      <c r="E7" s="141"/>
      <c r="F7" s="14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903" zoomScale="70" zoomScaleNormal="70" workbookViewId="0">
      <selection activeCell="K1929" sqref="K192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2"/>
  <sheetViews>
    <sheetView tabSelected="1" workbookViewId="0">
      <selection activeCell="D5" sqref="D5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97" t="s">
        <v>5491</v>
      </c>
      <c r="C2" s="42" t="str">
        <f>CONCATENATE(B2, 2025)</f>
        <v>SLCW Releve 22025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44386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162</v>
      </c>
      <c r="B10" s="40" t="str">
        <f>IF(LEN(VLOOKUP(A10,'Species List'!$A:$G,2,FALSE))=0,"",VLOOKUP(A10,'Species List'!$A:$G,2,FALSE))</f>
        <v>box elder</v>
      </c>
      <c r="C10" s="40">
        <f>IF(LEN(VLOOKUP(A10,'Species List'!$A:$G,3,FALSE))=0,"",VLOOKUP(A10,'Species List'!$A:$G,3,FALSE))</f>
        <v>1</v>
      </c>
      <c r="D10" s="92">
        <f t="shared" ref="D10:D26" si="0">VALUE(C10)</f>
        <v>1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29" si="1">VALUE(L10)</f>
        <v>15</v>
      </c>
      <c r="N10" s="79">
        <f t="shared" ref="N10:N34" si="2">L10/$L$142</f>
        <v>0.11029411764705882</v>
      </c>
      <c r="O10" s="79">
        <f t="shared" ref="O10:O29" si="3">D10*N10</f>
        <v>0.11029411764705882</v>
      </c>
    </row>
    <row r="11" spans="1:15" ht="13.5" thickBot="1" x14ac:dyDescent="0.25">
      <c r="A11" s="123" t="s">
        <v>1210</v>
      </c>
      <c r="B11" s="40" t="str">
        <f>IF(LEN(VLOOKUP(A11,'Species List'!$A:$G,2,FALSE))=0,"",VLOOKUP(A11,'Species List'!$A:$G,2,FALSE))</f>
        <v>bitternut hickory</v>
      </c>
      <c r="C11" s="40">
        <f>IF(LEN(VLOOKUP(A11,'Species List'!$A:$G,3,FALSE))=0,"",VLOOKUP(A11,'Species List'!$A:$G,3,FALSE))</f>
        <v>5</v>
      </c>
      <c r="D11" s="92">
        <f t="shared" si="0"/>
        <v>5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</v>
      </c>
      <c r="H11" s="40">
        <f>VLOOKUP(A11,'Species List'!$A:$G,7,FALSE)</f>
        <v>0</v>
      </c>
      <c r="J11" s="123" t="s">
        <v>4824</v>
      </c>
      <c r="K11" s="43" t="str">
        <f>VLOOKUP(J11,'Species List'!$H$1:$J$9,2,FALSE)</f>
        <v>&gt;0-1%</v>
      </c>
      <c r="L11" s="43">
        <f>VLOOKUP(K11,'Species List'!$I$1:$N$8,2,FALSE)</f>
        <v>0.5</v>
      </c>
      <c r="M11" s="93">
        <f t="shared" si="1"/>
        <v>0.5</v>
      </c>
      <c r="N11" s="79">
        <f t="shared" si="2"/>
        <v>3.6764705882352941E-3</v>
      </c>
      <c r="O11" s="91">
        <f t="shared" si="3"/>
        <v>1.8382352941176471E-2</v>
      </c>
    </row>
    <row r="12" spans="1:15" ht="13.5" thickBot="1" x14ac:dyDescent="0.25">
      <c r="A12" s="123" t="s">
        <v>1235</v>
      </c>
      <c r="B12" s="40" t="str">
        <f>IF(LEN(VLOOKUP(A12,'Species List'!$A:$G,2,FALSE))=0,"",VLOOKUP(A12,'Species List'!$A:$G,2,FALSE))</f>
        <v>hackberry</v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[FAC-]</v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2.2058823529411766E-2</v>
      </c>
      <c r="O12" s="91">
        <f t="shared" si="3"/>
        <v>6.6176470588235295E-2</v>
      </c>
    </row>
    <row r="13" spans="1:15" ht="26.25" thickBot="1" x14ac:dyDescent="0.25">
      <c r="A13" s="123" t="s">
        <v>2119</v>
      </c>
      <c r="B13" s="40" t="str">
        <f>IF(LEN(VLOOKUP(A13,'Species List'!$A:$G,2,FALSE))=0,"",VLOOKUP(A13,'Species List'!$A:$G,2,FALSE))</f>
        <v>green ash</v>
      </c>
      <c r="C13" s="40">
        <f>IF(LEN(VLOOKUP(A13,'Species List'!$A:$G,3,FALSE))=0,"",VLOOKUP(A13,'Species List'!$A:$G,3,FALSE))</f>
        <v>2</v>
      </c>
      <c r="D13" s="92">
        <f t="shared" si="0"/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</v>
      </c>
      <c r="H13" s="40">
        <f>VLOOKUP(A13,'Species List'!$A:$G,7,FALSE)</f>
        <v>0</v>
      </c>
      <c r="J13" s="123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2.2058823529411766E-2</v>
      </c>
      <c r="O13" s="91">
        <f t="shared" si="3"/>
        <v>4.4117647058823532E-2</v>
      </c>
    </row>
    <row r="14" spans="1:15" ht="13.5" thickBot="1" x14ac:dyDescent="0.25">
      <c r="A14" s="123" t="s">
        <v>2228</v>
      </c>
      <c r="B14" s="40" t="str">
        <f>IF(LEN(VLOOKUP(A14,'Species List'!$A:$G,2,FALSE))=0,"",VLOOKUP(A14,'Species List'!$A:$G,2,FALSE))</f>
        <v>honey locust</v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</v>
      </c>
      <c r="H14" s="40" t="str">
        <f>VLOOKUP(A14,'Species List'!$A:$G,7,FALSE)</f>
        <v>W</v>
      </c>
      <c r="J14" s="123" t="s">
        <v>4824</v>
      </c>
      <c r="K14" s="43" t="str">
        <f>VLOOKUP(J14,'Species List'!$H$1:$J$9,2,FALSE)</f>
        <v>&gt;0-1%</v>
      </c>
      <c r="L14" s="43">
        <f>VLOOKUP(K14,'Species List'!$I$1:$N$8,2,FALSE)</f>
        <v>0.5</v>
      </c>
      <c r="M14" s="93">
        <f t="shared" si="1"/>
        <v>0.5</v>
      </c>
      <c r="N14" s="79">
        <f t="shared" si="2"/>
        <v>3.6764705882352941E-3</v>
      </c>
      <c r="O14" s="91">
        <f t="shared" si="3"/>
        <v>0</v>
      </c>
    </row>
    <row r="15" spans="1:15" ht="13.5" thickBot="1" x14ac:dyDescent="0.25">
      <c r="A15" s="123" t="s">
        <v>4844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0</v>
      </c>
      <c r="D15" s="92">
        <f t="shared" si="0"/>
        <v>0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2.2058823529411766E-2</v>
      </c>
      <c r="O15" s="91">
        <f t="shared" si="3"/>
        <v>0</v>
      </c>
    </row>
    <row r="16" spans="1:15" ht="13.5" thickBot="1" x14ac:dyDescent="0.25">
      <c r="A16" s="123" t="s">
        <v>4860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2</v>
      </c>
      <c r="D16" s="92">
        <f t="shared" si="0"/>
        <v>2</v>
      </c>
      <c r="E16" s="40" t="str">
        <f>IF(LEN(VLOOKUP(A16,'Species List'!$A:$G,4,FALSE))=0,"",VLOOKUP(A16,'Species List'!$A:$G,4,FALSE))</f>
        <v>C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2.2058823529411766E-2</v>
      </c>
      <c r="O16" s="91">
        <f t="shared" si="3"/>
        <v>4.4117647058823532E-2</v>
      </c>
    </row>
    <row r="17" spans="1:15" ht="13.5" thickBot="1" x14ac:dyDescent="0.25">
      <c r="A17" s="123" t="s">
        <v>3609</v>
      </c>
      <c r="B17" s="40" t="str">
        <f>IF(LEN(VLOOKUP(A17,'Species List'!$A:$G,2,FALSE))=0,"",VLOOKUP(A17,'Species List'!$A:$G,2,FALSE))</f>
        <v>black cherry</v>
      </c>
      <c r="C17" s="40">
        <f>IF(LEN(VLOOKUP(A17,'Species List'!$A:$G,3,FALSE))=0,"",VLOOKUP(A17,'Species List'!$A:$G,3,FALSE))</f>
        <v>4</v>
      </c>
      <c r="D17" s="92">
        <f t="shared" si="0"/>
        <v>4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[FACU]</v>
      </c>
      <c r="H17" s="40">
        <f>VLOOKUP(A17,'Species List'!$A:$G,7,FALSE)</f>
        <v>0</v>
      </c>
      <c r="J17" s="123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2.2058823529411766E-2</v>
      </c>
      <c r="O17" s="91">
        <f t="shared" si="3"/>
        <v>8.8235294117647065E-2</v>
      </c>
    </row>
    <row r="18" spans="1:15" ht="13.5" thickBot="1" x14ac:dyDescent="0.25">
      <c r="A18" s="123" t="s">
        <v>3611</v>
      </c>
      <c r="B18" s="40" t="str">
        <f>IF(LEN(VLOOKUP(A18,'Species List'!$A:$G,2,FALSE))=0,"",VLOOKUP(A18,'Species List'!$A:$G,2,FALSE))</f>
        <v>chokecherry</v>
      </c>
      <c r="C18" s="40">
        <f>IF(LEN(VLOOKUP(A18,'Species List'!$A:$G,3,FALSE))=0,"",VLOOKUP(A18,'Species List'!$A:$G,3,FALSE))</f>
        <v>3</v>
      </c>
      <c r="D18" s="92">
        <f t="shared" si="0"/>
        <v>3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[FAC-]</v>
      </c>
      <c r="H18" s="40">
        <f>VLOOKUP(A18,'Species List'!$A:$G,7,FALSE)</f>
        <v>0</v>
      </c>
      <c r="J18" s="123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2.2058823529411766E-2</v>
      </c>
      <c r="O18" s="91">
        <f t="shared" si="3"/>
        <v>6.6176470588235295E-2</v>
      </c>
    </row>
    <row r="19" spans="1:15" ht="13.5" thickBot="1" x14ac:dyDescent="0.25">
      <c r="A19" s="123" t="s">
        <v>3644</v>
      </c>
      <c r="B19" s="40" t="str">
        <f>IF(LEN(VLOOKUP(A19,'Species List'!$A:$G,2,FALSE))=0,"",VLOOKUP(A19,'Species List'!$A:$G,2,FALSE))</f>
        <v>northern pin oak</v>
      </c>
      <c r="C19" s="40">
        <f>IF(LEN(VLOOKUP(A19,'Species List'!$A:$G,3,FALSE))=0,"",VLOOKUP(A19,'Species List'!$A:$G,3,FALSE))</f>
        <v>5</v>
      </c>
      <c r="D19" s="92">
        <f t="shared" si="0"/>
        <v>5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23">
        <v>4</v>
      </c>
      <c r="K19" s="43" t="str">
        <f>VLOOKUP(J19,'Species List'!$H$1:$J$9,2,FALSE)</f>
        <v>&gt;50-75%</v>
      </c>
      <c r="L19" s="43">
        <f>VLOOKUP(K19,'Species List'!$I$1:$N$8,2,FALSE)</f>
        <v>62.5</v>
      </c>
      <c r="M19" s="93">
        <f t="shared" si="1"/>
        <v>62.5</v>
      </c>
      <c r="N19" s="79">
        <f t="shared" si="2"/>
        <v>0.45955882352941174</v>
      </c>
      <c r="O19" s="91">
        <f t="shared" si="3"/>
        <v>2.2977941176470589</v>
      </c>
    </row>
    <row r="20" spans="1:15" ht="13.5" thickBot="1" x14ac:dyDescent="0.25">
      <c r="A20" s="123" t="s">
        <v>3710</v>
      </c>
      <c r="B20" s="40" t="str">
        <f>IF(LEN(VLOOKUP(A20,'Species List'!$A:$G,2,FALSE))=0,"",VLOOKUP(A20,'Species List'!$A:$G,2,FALSE))</f>
        <v>common buckthorn</v>
      </c>
      <c r="C20" s="40">
        <f>IF(LEN(VLOOKUP(A20,'Species List'!$A:$G,3,FALSE))=0,"",VLOOKUP(A20,'Species List'!$A:$G,3,FALSE))</f>
        <v>0</v>
      </c>
      <c r="D20" s="92">
        <f t="shared" si="0"/>
        <v>0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3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79">
        <f t="shared" si="2"/>
        <v>2.2058823529411766E-2</v>
      </c>
      <c r="O20" s="91">
        <f t="shared" si="3"/>
        <v>0</v>
      </c>
    </row>
    <row r="21" spans="1:15" ht="13.5" thickBot="1" x14ac:dyDescent="0.25">
      <c r="A21" s="123" t="s">
        <v>3745</v>
      </c>
      <c r="B21" s="40" t="str">
        <f>IF(LEN(VLOOKUP(A21,'Species List'!$A:$G,2,FALSE))=0,"",VLOOKUP(A21,'Species List'!$A:$G,2,FALSE))</f>
        <v>Missouri gooseberry</v>
      </c>
      <c r="C21" s="40">
        <f>IF(LEN(VLOOKUP(A21,'Species List'!$A:$G,3,FALSE))=0,"",VLOOKUP(A21,'Species List'!$A:$G,3,FALSE))</f>
        <v>4</v>
      </c>
      <c r="D21" s="92">
        <f t="shared" si="0"/>
        <v>4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2.2058823529411766E-2</v>
      </c>
      <c r="O21" s="91">
        <f t="shared" si="3"/>
        <v>8.8235294117647065E-2</v>
      </c>
    </row>
    <row r="22" spans="1:15" ht="13.5" thickBot="1" x14ac:dyDescent="0.25">
      <c r="A22" s="123" t="s">
        <v>3801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3</v>
      </c>
      <c r="D22" s="92">
        <f t="shared" si="0"/>
        <v>3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2.2058823529411766E-2</v>
      </c>
      <c r="O22" s="91">
        <f t="shared" si="3"/>
        <v>6.6176470588235295E-2</v>
      </c>
    </row>
    <row r="23" spans="1:15" ht="13.5" thickBot="1" x14ac:dyDescent="0.25">
      <c r="A23" s="123" t="s">
        <v>3808</v>
      </c>
      <c r="B23" s="40" t="str">
        <f>IF(LEN(VLOOKUP(A23,'Species List'!$A:$G,2,FALSE))=0,"",VLOOKUP(A23,'Species List'!$A:$G,2,FALSE))</f>
        <v>black raspberry</v>
      </c>
      <c r="C23" s="40">
        <f>IF(LEN(VLOOKUP(A23,'Species List'!$A:$G,3,FALSE))=0,"",VLOOKUP(A23,'Species List'!$A:$G,3,FALSE))</f>
        <v>2</v>
      </c>
      <c r="D23" s="92">
        <f t="shared" si="0"/>
        <v>2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79">
        <f t="shared" si="2"/>
        <v>2.2058823529411766E-2</v>
      </c>
      <c r="O23" s="91">
        <f t="shared" si="3"/>
        <v>4.4117647058823532E-2</v>
      </c>
    </row>
    <row r="24" spans="1:15" ht="13.5" thickBot="1" x14ac:dyDescent="0.25">
      <c r="A24" s="123" t="s">
        <v>4855</v>
      </c>
      <c r="B24" s="40" t="str">
        <f>IF(LEN(VLOOKUP(A24,'Species List'!$A:$G,2,FALSE))=0,"",VLOOKUP(A24,'Species List'!$A:$G,2,FALSE))</f>
        <v/>
      </c>
      <c r="C24" s="40">
        <f>IF(LEN(VLOOKUP(A24,'Species List'!$A:$G,3,FALSE))=0,"",VLOOKUP(A24,'Species List'!$A:$G,3,FALSE))</f>
        <v>3</v>
      </c>
      <c r="D24" s="92">
        <f t="shared" si="0"/>
        <v>3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23">
        <v>1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2.2058823529411766E-2</v>
      </c>
      <c r="O24" s="91">
        <f t="shared" si="3"/>
        <v>6.6176470588235295E-2</v>
      </c>
    </row>
    <row r="25" spans="1:15" ht="13.5" thickBot="1" x14ac:dyDescent="0.25">
      <c r="A25" s="123" t="s">
        <v>4541</v>
      </c>
      <c r="B25" s="40" t="str">
        <f>IF(LEN(VLOOKUP(A25,'Species List'!$A:$G,2,FALSE))=0,"",VLOOKUP(A25,'Species List'!$A:$G,2,FALSE))</f>
        <v>American elm</v>
      </c>
      <c r="C25" s="40">
        <f>IF(LEN(VLOOKUP(A25,'Species List'!$A:$G,3,FALSE))=0,"",VLOOKUP(A25,'Species List'!$A:$G,3,FALSE))</f>
        <v>3</v>
      </c>
      <c r="D25" s="92">
        <f t="shared" si="0"/>
        <v>3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FACW-</v>
      </c>
      <c r="H25" s="40">
        <f>VLOOKUP(A25,'Species List'!$A:$G,7,FALSE)</f>
        <v>0</v>
      </c>
      <c r="J25" s="123">
        <v>2</v>
      </c>
      <c r="K25" s="43" t="str">
        <f>VLOOKUP(J25,'Species List'!$H$1:$J$9,2,FALSE)</f>
        <v>&gt;5-25%</v>
      </c>
      <c r="L25" s="43">
        <f>VLOOKUP(K25,'Species List'!$I$1:$N$8,2,FALSE)</f>
        <v>15</v>
      </c>
      <c r="M25" s="93">
        <f t="shared" si="1"/>
        <v>15</v>
      </c>
      <c r="N25" s="79">
        <f t="shared" si="2"/>
        <v>0.11029411764705882</v>
      </c>
      <c r="O25" s="91">
        <f t="shared" si="3"/>
        <v>0.33088235294117646</v>
      </c>
    </row>
    <row r="26" spans="1:15" ht="13.5" thickBot="1" x14ac:dyDescent="0.25">
      <c r="A26" s="123" t="s">
        <v>4545</v>
      </c>
      <c r="B26" s="40" t="str">
        <f>IF(LEN(VLOOKUP(A26,'Species List'!$A:$G,2,FALSE))=0,"",VLOOKUP(A26,'Species List'!$A:$G,2,FALSE))</f>
        <v>red elm</v>
      </c>
      <c r="C26" s="40">
        <f>IF(LEN(VLOOKUP(A26,'Species List'!$A:$G,3,FALSE))=0,"",VLOOKUP(A26,'Species List'!$A:$G,3,FALSE))</f>
        <v>4</v>
      </c>
      <c r="D26" s="92">
        <f t="shared" si="0"/>
        <v>4</v>
      </c>
      <c r="E26" s="40" t="str">
        <f>IF(LEN(VLOOKUP(A26,'Species List'!$A:$G,4,FALSE))=0,"",VLOOKUP(A26,'Species List'!$A:$G,4,FALSE))</f>
        <v>D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</v>
      </c>
      <c r="H26" s="40">
        <f>VLOOKUP(A26,'Species List'!$A:$G,7,FALSE)</f>
        <v>0</v>
      </c>
      <c r="J26" s="123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1"/>
        <v>0.5</v>
      </c>
      <c r="N26" s="79">
        <f t="shared" si="2"/>
        <v>3.6764705882352941E-3</v>
      </c>
      <c r="O26" s="91">
        <f t="shared" si="3"/>
        <v>1.4705882352941176E-2</v>
      </c>
    </row>
    <row r="27" spans="1:15" ht="13.5" thickBot="1" x14ac:dyDescent="0.25">
      <c r="A27" s="123" t="s">
        <v>5463</v>
      </c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>
        <v>0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>
        <v>1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1"/>
        <v>3</v>
      </c>
      <c r="N27" s="79">
        <f t="shared" si="2"/>
        <v>2.2058823529411766E-2</v>
      </c>
      <c r="O27" s="91">
        <f t="shared" si="3"/>
        <v>0</v>
      </c>
    </row>
    <row r="28" spans="1:15" ht="26.25" thickBot="1" x14ac:dyDescent="0.25">
      <c r="A28" s="123" t="s">
        <v>4646</v>
      </c>
      <c r="B28" s="40" t="str">
        <f>IF(LEN(VLOOKUP(A28,'Species List'!$A:$G,2,FALSE))=0,"",VLOOKUP(A28,'Species List'!$A:$G,2,FALSE))</f>
        <v/>
      </c>
      <c r="C28" s="40">
        <f>IF(LEN(VLOOKUP(A28,'Species List'!$A:$G,3,FALSE))=0,"",VLOOKUP(A28,'Species List'!$A:$G,3,FALSE))</f>
        <v>0</v>
      </c>
      <c r="D28" s="92">
        <f>VALUE(C28)</f>
        <v>0</v>
      </c>
      <c r="E28" s="40" t="str">
        <f>IF(LEN(VLOOKUP(A28,'Species List'!$A:$G,4,FALSE))=0,"",VLOOKUP(A28,'Species List'!$A:$G,4,FALSE))</f>
        <v>D</v>
      </c>
      <c r="F28" s="40" t="str">
        <f>IF(LEN(VLOOKUP(A28,'Species List'!$A:$G,5,FALSE))=0,"",VLOOKUP(A28,'Species List'!$A:$G,5,FALSE))</f>
        <v>Introduced</v>
      </c>
      <c r="G28" s="40" t="str">
        <f>IF(LEN(VLOOKUP(A28,'Species List'!$A:$G,6,FALSE))=0,"",VLOOKUP(A28,'Species List'!$A:$G,6,FALSE))</f>
        <v/>
      </c>
      <c r="H28" s="40">
        <f>VLOOKUP(A28,'Species List'!$A:$G,7,FALSE)</f>
        <v>0</v>
      </c>
      <c r="J28" s="123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79">
        <f t="shared" si="2"/>
        <v>2.2058823529411766E-2</v>
      </c>
      <c r="O28" s="91">
        <f t="shared" si="3"/>
        <v>0</v>
      </c>
    </row>
    <row r="29" spans="1:15" ht="13.5" thickBot="1" x14ac:dyDescent="0.25">
      <c r="A29" s="123" t="s">
        <v>4708</v>
      </c>
      <c r="B29" s="40" t="str">
        <f>IF(LEN(VLOOKUP(A29,'Species List'!$A:$G,2,FALSE))=0,"",VLOOKUP(A29,'Species List'!$A:$G,2,FALSE))</f>
        <v>wild grape</v>
      </c>
      <c r="C29" s="40">
        <f>IF(LEN(VLOOKUP(A29,'Species List'!$A:$G,3,FALSE))=0,"",VLOOKUP(A29,'Species List'!$A:$G,3,FALSE))</f>
        <v>2</v>
      </c>
      <c r="D29" s="92">
        <f>VALUE(C29)</f>
        <v>2</v>
      </c>
      <c r="E29" s="40" t="str">
        <f>IF(LEN(VLOOKUP(A29,'Species List'!$A:$G,4,FALSE))=0,"",VLOOKUP(A29,'Species List'!$A:$G,4,FALSE))</f>
        <v>C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FACW-</v>
      </c>
      <c r="H29" s="40">
        <f>VLOOKUP(A29,'Species List'!$A:$G,7,FALSE)</f>
        <v>0</v>
      </c>
      <c r="J29" s="123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1"/>
        <v>3</v>
      </c>
      <c r="N29" s="79">
        <f t="shared" si="2"/>
        <v>2.2058823529411766E-2</v>
      </c>
      <c r="O29" s="91">
        <f t="shared" si="3"/>
        <v>4.4117647058823532E-2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ref="D30:D67" si="4">VALUE(C30)</f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ref="M30:M67" si="5">VALUE(L30)</f>
        <v>#N/A</v>
      </c>
      <c r="N30" s="79" t="e">
        <f t="shared" si="2"/>
        <v>#N/A</v>
      </c>
      <c r="O30" s="91" t="e">
        <f t="shared" ref="O30:O67" si="6">D30*N30</f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ref="N35:N66" si="7">L35/$L$142</f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7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7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7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7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7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7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si="7"/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ref="N67:N130" si="8">L67/$L$142</f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ref="D68:D131" si="9">VALUE(C68)</f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ref="M68:M131" si="10">VALUE(L68)</f>
        <v>#N/A</v>
      </c>
      <c r="N68" s="79" t="e">
        <f t="shared" si="8"/>
        <v>#N/A</v>
      </c>
      <c r="O68" s="91" t="e">
        <f t="shared" ref="O68:O131" si="11">D68*N68</f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9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0"/>
        <v>#N/A</v>
      </c>
      <c r="N69" s="79" t="e">
        <f t="shared" si="8"/>
        <v>#N/A</v>
      </c>
      <c r="O69" s="91" t="e">
        <f t="shared" si="11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9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0"/>
        <v>#N/A</v>
      </c>
      <c r="N70" s="79" t="e">
        <f t="shared" si="8"/>
        <v>#N/A</v>
      </c>
      <c r="O70" s="91" t="e">
        <f t="shared" si="11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9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0"/>
        <v>#N/A</v>
      </c>
      <c r="N71" s="79" t="e">
        <f t="shared" si="8"/>
        <v>#N/A</v>
      </c>
      <c r="O71" s="91" t="e">
        <f t="shared" si="11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9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0"/>
        <v>#N/A</v>
      </c>
      <c r="N72" s="79" t="e">
        <f t="shared" si="8"/>
        <v>#N/A</v>
      </c>
      <c r="O72" s="91" t="e">
        <f t="shared" si="11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9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0"/>
        <v>#N/A</v>
      </c>
      <c r="N73" s="79" t="e">
        <f t="shared" si="8"/>
        <v>#N/A</v>
      </c>
      <c r="O73" s="91" t="e">
        <f t="shared" si="11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9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0"/>
        <v>#N/A</v>
      </c>
      <c r="N74" s="79" t="e">
        <f t="shared" si="8"/>
        <v>#N/A</v>
      </c>
      <c r="O74" s="91" t="e">
        <f t="shared" si="11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9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0"/>
        <v>#N/A</v>
      </c>
      <c r="N75" s="79" t="e">
        <f t="shared" si="8"/>
        <v>#N/A</v>
      </c>
      <c r="O75" s="91" t="e">
        <f t="shared" si="11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ref="N131:N141" si="12">L131/$L$142</f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ref="D132:D141" si="13">VALUE(C132)</f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ref="M132:M141" si="14">VALUE(L132)</f>
        <v>#N/A</v>
      </c>
      <c r="N132" s="79" t="e">
        <f t="shared" si="12"/>
        <v>#N/A</v>
      </c>
      <c r="O132" s="91" t="e">
        <f t="shared" ref="O132:O141" si="15">D132*N132</f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13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4"/>
        <v>#N/A</v>
      </c>
      <c r="N133" s="79" t="e">
        <f t="shared" si="12"/>
        <v>#N/A</v>
      </c>
      <c r="O133" s="91" t="e">
        <f t="shared" si="15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13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4"/>
        <v>#N/A</v>
      </c>
      <c r="N134" s="79" t="e">
        <f t="shared" si="12"/>
        <v>#N/A</v>
      </c>
      <c r="O134" s="91" t="e">
        <f t="shared" si="15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13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4"/>
        <v>#N/A</v>
      </c>
      <c r="N135" s="79" t="e">
        <f t="shared" si="12"/>
        <v>#N/A</v>
      </c>
      <c r="O135" s="91" t="e">
        <f t="shared" si="15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13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4"/>
        <v>#N/A</v>
      </c>
      <c r="N136" s="79" t="e">
        <f t="shared" si="12"/>
        <v>#N/A</v>
      </c>
      <c r="O136" s="91" t="e">
        <f t="shared" si="15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13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4"/>
        <v>#N/A</v>
      </c>
      <c r="N137" s="79" t="e">
        <f t="shared" si="12"/>
        <v>#N/A</v>
      </c>
      <c r="O137" s="91" t="e">
        <f t="shared" si="15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13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4"/>
        <v>#N/A</v>
      </c>
      <c r="N138" s="79" t="e">
        <f t="shared" si="12"/>
        <v>#N/A</v>
      </c>
      <c r="O138" s="91" t="e">
        <f t="shared" si="15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3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4"/>
        <v>#N/A</v>
      </c>
      <c r="N139" s="79" t="e">
        <f t="shared" si="12"/>
        <v>#N/A</v>
      </c>
      <c r="O139" s="91" t="e">
        <f t="shared" si="15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ht="13.5" thickBot="1" x14ac:dyDescent="0.25">
      <c r="A141" s="84"/>
      <c r="B141" s="56" t="e">
        <f>IF(LEN(VLOOKUP(A141,'Species List'!$A:$G,2,FALSE))=0,"",VLOOKUP(A141,'Species List'!$A:$G,2,FALSE))</f>
        <v>#N/A</v>
      </c>
      <c r="C141" s="56" t="e">
        <f>IF(LEN(VLOOKUP(A141,'Species List'!$A:$G,3,FALSE))=0,"",VLOOKUP(A141,'Species List'!$A:$G,3,FALSE))</f>
        <v>#N/A</v>
      </c>
      <c r="D141" s="92" t="e">
        <f t="shared" si="13"/>
        <v>#N/A</v>
      </c>
      <c r="E141" s="56" t="e">
        <f>IF(LEN(VLOOKUP(A141,'Species List'!$A:$G,4,FALSE))=0,"",VLOOKUP(A141,'Species List'!$A:$G,4,FALSE))</f>
        <v>#N/A</v>
      </c>
      <c r="F141" s="56" t="e">
        <f>IF(LEN(VLOOKUP(A141,'Species List'!$A:$G,5,FALSE))=0,"",VLOOKUP(A141,'Species List'!$A:$G,5,FALSE))</f>
        <v>#N/A</v>
      </c>
      <c r="G141" s="56" t="e">
        <f>IF(LEN(VLOOKUP(A141,'Species List'!$A:$G,6,FALSE))=0,"",VLOOKUP(A141,'Species List'!$A:$G,6,FALSE))</f>
        <v>#N/A</v>
      </c>
      <c r="H141" s="56" t="e">
        <f>VLOOKUP(A141,'Species List'!$A:$G,7,FALSE)</f>
        <v>#N/A</v>
      </c>
      <c r="I141" s="41"/>
      <c r="J141" s="86"/>
      <c r="K141" s="58" t="e">
        <f>VLOOKUP(J141,'Species List'!$H$1:$J$9,2,FALSE)</f>
        <v>#N/A</v>
      </c>
      <c r="L141" s="58" t="e">
        <f>VLOOKUP(K141,'Species List'!$I$1:$N$8,2,FALSE)</f>
        <v>#N/A</v>
      </c>
      <c r="M141" s="93" t="e">
        <f t="shared" si="14"/>
        <v>#N/A</v>
      </c>
      <c r="N141" s="41" t="e">
        <f t="shared" si="12"/>
        <v>#N/A</v>
      </c>
      <c r="O141" s="91" t="e">
        <f t="shared" si="15"/>
        <v>#N/A</v>
      </c>
    </row>
    <row r="142" spans="1:15" ht="14.25" thickTop="1" thickBot="1" x14ac:dyDescent="0.25">
      <c r="I142" s="146" t="s">
        <v>4791</v>
      </c>
      <c r="J142" s="147"/>
      <c r="K142" s="148"/>
      <c r="L142" s="57">
        <f>SUMIF(L10:L141,"&gt;=0")</f>
        <v>136</v>
      </c>
      <c r="M142" s="73"/>
    </row>
  </sheetData>
  <protectedRanges>
    <protectedRange password="EBBA" sqref="B9" name="Range1"/>
    <protectedRange password="EBBA" sqref="K10:K141" name="Range2"/>
  </protectedRanges>
  <sortState xmlns:xlrd2="http://schemas.microsoft.com/office/spreadsheetml/2017/richdata2" ref="A10:O29">
    <sortCondition ref="A10:A29"/>
  </sortState>
  <dataConsolidate/>
  <mergeCells count="3">
    <mergeCell ref="A1:O1"/>
    <mergeCell ref="B7:E7"/>
    <mergeCell ref="I142:K142"/>
  </mergeCells>
  <dataValidations count="1">
    <dataValidation type="list" allowBlank="1" showInputMessage="1" showErrorMessage="1" sqref="B2" xr:uid="{AF3143BE-DD06-4F14-A9EF-079F2DA2FBA6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R22" sqref="R22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270</v>
      </c>
      <c r="B10" s="40" t="str">
        <f>IF(LEN(VLOOKUP(A10,'Species List'!$A:$G,2,FALSE))=0,"",VLOOKUP(A10,'Species List'!$A:$G,2,FALSE))</f>
        <v>garlic mustard</v>
      </c>
      <c r="C10" s="40">
        <f>IF(LEN(VLOOKUP(A10,'Species List'!$A:$G,3,FALSE))=0,"",VLOOKUP(A10,'Species List'!$A:$G,3,FALSE))</f>
        <v>0</v>
      </c>
      <c r="D10" s="92">
        <f t="shared" ref="D10:D11" si="0">VALUE(C10)</f>
        <v>0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FAC</v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99">
        <f t="shared" ref="N10:N41" si="2">L10/$L$150</f>
        <v>0.15789473684210525</v>
      </c>
      <c r="O10" s="99">
        <f t="shared" ref="O10:O11" si="3">D10*N10</f>
        <v>0</v>
      </c>
    </row>
    <row r="11" spans="1:15" ht="13.5" thickBot="1" x14ac:dyDescent="0.25">
      <c r="A11" s="123" t="s">
        <v>1948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2</v>
      </c>
      <c r="D11" s="92">
        <f t="shared" si="0"/>
        <v>2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3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3.1578947368421054E-2</v>
      </c>
      <c r="O11" s="99">
        <f t="shared" si="3"/>
        <v>6.3157894736842107E-2</v>
      </c>
    </row>
    <row r="12" spans="1:15" ht="13.5" thickBot="1" x14ac:dyDescent="0.25">
      <c r="A12" s="123" t="s">
        <v>1349</v>
      </c>
      <c r="B12" s="40" t="str">
        <f>IF(LEN(VLOOKUP(A12,'Species List'!$A:$G,2,FALSE))=0,"",VLOOKUP(A12,'Species List'!$A:$G,2,FALSE))</f>
        <v>common enchanter's nightshade</v>
      </c>
      <c r="C12" s="40">
        <f>IF(LEN(VLOOKUP(A12,'Species List'!$A:$G,3,FALSE))=0,"",VLOOKUP(A12,'Species List'!$A:$G,3,FALSE))</f>
        <v>2</v>
      </c>
      <c r="D12" s="92">
        <f>VALUE(C12)</f>
        <v>2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[FACU]</v>
      </c>
      <c r="H12" s="40">
        <f>VLOOKUP(A12,'Species List'!$A:$G,7,FALSE)</f>
        <v>0</v>
      </c>
      <c r="J12" s="123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79">
        <f t="shared" si="2"/>
        <v>0.15789473684210525</v>
      </c>
      <c r="O12" s="79">
        <f>D12*N12</f>
        <v>0.31578947368421051</v>
      </c>
    </row>
    <row r="13" spans="1:15" ht="13.5" thickBot="1" x14ac:dyDescent="0.25">
      <c r="A13" s="123" t="s">
        <v>468</v>
      </c>
      <c r="B13" s="40" t="str">
        <f>IF(LEN(VLOOKUP(A13,'Species List'!$A:$G,2,FALSE))=0,"",VLOOKUP(A13,'Species List'!$A:$G,2,FALSE))</f>
        <v>Jack-in-the-pulpit</v>
      </c>
      <c r="C13" s="40">
        <f>IF(LEN(VLOOKUP(A13,'Species List'!$A:$G,3,FALSE))=0,"",VLOOKUP(A13,'Species List'!$A:$G,3,FALSE))</f>
        <v>4</v>
      </c>
      <c r="D13" s="92">
        <f t="shared" ref="D13:D75" si="4">VALUE(C13)</f>
        <v>4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FACW-</v>
      </c>
      <c r="H13" s="40">
        <f>VLOOKUP(A13,'Species List'!$A:$G,7,FALSE)</f>
        <v>0</v>
      </c>
      <c r="J13" s="123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3.1578947368421054E-2</v>
      </c>
      <c r="O13" s="91">
        <f t="shared" ref="O13:O75" si="6">D13*N13</f>
        <v>0.12631578947368421</v>
      </c>
    </row>
    <row r="14" spans="1:15" ht="13.5" thickBot="1" x14ac:dyDescent="0.25">
      <c r="A14" s="123" t="s">
        <v>2858</v>
      </c>
      <c r="B14" s="40" t="str">
        <f>IF(LEN(VLOOKUP(A14,'Species List'!$A:$G,2,FALSE))=0,"",VLOOKUP(A14,'Species List'!$A:$G,2,FALSE))</f>
        <v>Canada moonseed</v>
      </c>
      <c r="C14" s="40">
        <f>IF(LEN(VLOOKUP(A14,'Species List'!$A:$G,3,FALSE))=0,"",VLOOKUP(A14,'Species List'!$A:$G,3,FALSE))</f>
        <v>4</v>
      </c>
      <c r="D14" s="92">
        <f t="shared" si="4"/>
        <v>4</v>
      </c>
      <c r="E14" s="40" t="str">
        <f>IF(LEN(VLOOKUP(A14,'Species List'!$A:$G,4,FALSE))=0,"",VLOOKUP(A14,'Species List'!$A:$G,4,FALSE))</f>
        <v>C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FAC*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3.1578947368421054E-2</v>
      </c>
      <c r="O14" s="91">
        <f t="shared" si="6"/>
        <v>0.12631578947368421</v>
      </c>
    </row>
    <row r="15" spans="1:15" ht="13.5" thickBot="1" x14ac:dyDescent="0.25">
      <c r="A15" s="123" t="s">
        <v>1698</v>
      </c>
      <c r="B15" s="40" t="str">
        <f>IF(LEN(VLOOKUP(A15,'Species List'!$A:$G,2,FALSE))=0,"",VLOOKUP(A15,'Species List'!$A:$G,2,FALSE))</f>
        <v>wild yam</v>
      </c>
      <c r="C15" s="40">
        <f>IF(LEN(VLOOKUP(A15,'Species List'!$A:$G,3,FALSE))=0,"",VLOOKUP(A15,'Species List'!$A:$G,3,FALSE))</f>
        <v>4</v>
      </c>
      <c r="D15" s="92">
        <f t="shared" si="4"/>
        <v>4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FAC-</v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3.1578947368421054E-2</v>
      </c>
      <c r="O15" s="91">
        <f t="shared" si="6"/>
        <v>0.12631578947368421</v>
      </c>
    </row>
    <row r="16" spans="1:15" ht="13.5" thickBot="1" x14ac:dyDescent="0.25">
      <c r="A16" s="123" t="s">
        <v>2554</v>
      </c>
      <c r="B16" s="40" t="str">
        <f>IF(LEN(VLOOKUP(A16,'Species List'!$A:$G,2,FALSE))=0,"",VLOOKUP(A16,'Species List'!$A:$G,2,FALSE))</f>
        <v>woodnettle</v>
      </c>
      <c r="C16" s="40">
        <f>IF(LEN(VLOOKUP(A16,'Species List'!$A:$G,3,FALSE))=0,"",VLOOKUP(A16,'Species List'!$A:$G,3,FALSE))</f>
        <v>3</v>
      </c>
      <c r="D16" s="92">
        <f t="shared" si="4"/>
        <v>3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3.1578947368421054E-2</v>
      </c>
      <c r="O16" s="91">
        <f t="shared" si="6"/>
        <v>9.4736842105263161E-2</v>
      </c>
    </row>
    <row r="17" spans="1:15" ht="13.5" thickBot="1" x14ac:dyDescent="0.25">
      <c r="A17" s="123" t="s">
        <v>2161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4</v>
      </c>
      <c r="D17" s="92">
        <f t="shared" si="4"/>
        <v>4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FACU+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3.1578947368421054E-2</v>
      </c>
      <c r="O17" s="91">
        <f t="shared" si="6"/>
        <v>0.12631578947368421</v>
      </c>
    </row>
    <row r="18" spans="1:15" ht="13.5" thickBot="1" x14ac:dyDescent="0.25">
      <c r="A18" s="123" t="s">
        <v>4876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1</v>
      </c>
      <c r="D18" s="92">
        <f t="shared" si="4"/>
        <v>1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3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3.1578947368421054E-2</v>
      </c>
      <c r="O18" s="91">
        <f t="shared" si="6"/>
        <v>3.1578947368421054E-2</v>
      </c>
    </row>
    <row r="19" spans="1:15" ht="13.5" thickBot="1" x14ac:dyDescent="0.25">
      <c r="A19" s="123" t="s">
        <v>4841</v>
      </c>
      <c r="B19" s="40" t="str">
        <f>IF(LEN(VLOOKUP(A19,'Species List'!$A:$G,2,FALSE))=0,"",VLOOKUP(A19,'Species List'!$A:$G,2,FALSE))</f>
        <v>white lamb's quarters</v>
      </c>
      <c r="C19" s="40">
        <f>IF(LEN(VLOOKUP(A19,'Species List'!$A:$G,3,FALSE))=0,"",VLOOKUP(A19,'Species List'!$A:$G,3,FALSE))</f>
        <v>0</v>
      </c>
      <c r="D19" s="92">
        <f t="shared" si="4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>FAC-</v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3.1578947368421054E-2</v>
      </c>
      <c r="O19" s="91">
        <f t="shared" si="6"/>
        <v>0</v>
      </c>
    </row>
    <row r="20" spans="1:15" ht="13.5" thickBot="1" x14ac:dyDescent="0.25">
      <c r="A20" s="123" t="s">
        <v>4426</v>
      </c>
      <c r="B20" s="40" t="str">
        <f>IF(LEN(VLOOKUP(A20,'Species List'!$A:$G,2,FALSE))=0,"",VLOOKUP(A20,'Species List'!$A:$G,2,FALSE))</f>
        <v>early meadow-rue</v>
      </c>
      <c r="C20" s="40">
        <f>IF(LEN(VLOOKUP(A20,'Species List'!$A:$G,3,FALSE))=0,"",VLOOKUP(A20,'Species List'!$A:$G,3,FALSE))</f>
        <v>5</v>
      </c>
      <c r="D20" s="92">
        <f t="shared" si="4"/>
        <v>5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FACU+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3.1578947368421054E-2</v>
      </c>
      <c r="O20" s="91">
        <f t="shared" si="6"/>
        <v>0.15789473684210525</v>
      </c>
    </row>
    <row r="21" spans="1:15" ht="13.5" thickBot="1" x14ac:dyDescent="0.25">
      <c r="A21" s="123" t="s">
        <v>3223</v>
      </c>
      <c r="B21" s="40" t="str">
        <f>IF(LEN(VLOOKUP(A21,'Species List'!$A:$G,2,FALSE))=0,"",VLOOKUP(A21,'Species List'!$A:$G,2,FALSE))</f>
        <v>lady's thumb</v>
      </c>
      <c r="C21" s="40">
        <f>IF(LEN(VLOOKUP(A21,'Species List'!$A:$G,3,FALSE))=0,"",VLOOKUP(A21,'Species List'!$A:$G,3,FALSE))</f>
        <v>0</v>
      </c>
      <c r="D21" s="92">
        <f t="shared" si="4"/>
        <v>0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Introduced</v>
      </c>
      <c r="G21" s="40" t="str">
        <f>IF(LEN(VLOOKUP(A21,'Species List'!$A:$G,6,FALSE))=0,"",VLOOKUP(A21,'Species List'!$A:$G,6,FALSE))</f>
        <v>FACW</v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3.1578947368421054E-2</v>
      </c>
      <c r="O21" s="91">
        <f t="shared" si="6"/>
        <v>0</v>
      </c>
    </row>
    <row r="22" spans="1:15" ht="13.5" thickBot="1" x14ac:dyDescent="0.25">
      <c r="A22" s="123" t="s">
        <v>4548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1</v>
      </c>
      <c r="D22" s="92">
        <f t="shared" si="4"/>
        <v>1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FACW</v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3.1578947368421054E-2</v>
      </c>
      <c r="O22" s="91">
        <f t="shared" si="6"/>
        <v>3.1578947368421054E-2</v>
      </c>
    </row>
    <row r="23" spans="1:15" ht="13.5" thickBot="1" x14ac:dyDescent="0.25">
      <c r="A23" s="123" t="s">
        <v>4412</v>
      </c>
      <c r="B23" s="40" t="str">
        <f>IF(LEN(VLOOKUP(A23,'Species List'!$A:$G,2,FALSE))=0,"",VLOOKUP(A23,'Species List'!$A:$G,2,FALSE))</f>
        <v>common dandelion</v>
      </c>
      <c r="C23" s="40">
        <f>IF(LEN(VLOOKUP(A23,'Species List'!$A:$G,3,FALSE))=0,"",VLOOKUP(A23,'Species List'!$A:$G,3,FALSE))</f>
        <v>0</v>
      </c>
      <c r="D23" s="92">
        <f t="shared" si="4"/>
        <v>0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Introduced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3.1578947368421054E-2</v>
      </c>
      <c r="O23" s="91">
        <f t="shared" si="6"/>
        <v>0</v>
      </c>
    </row>
    <row r="24" spans="1:15" ht="13.5" thickBot="1" x14ac:dyDescent="0.25">
      <c r="A24" s="123" t="s">
        <v>4870</v>
      </c>
      <c r="B24" s="40" t="str">
        <f>IF(LEN(VLOOKUP(A24,'Species List'!$A:$G,2,FALSE))=0,"",VLOOKUP(A24,'Species List'!$A:$G,2,FALSE))</f>
        <v/>
      </c>
      <c r="C24" s="40">
        <f>IF(LEN(VLOOKUP(A24,'Species List'!$A:$G,3,FALSE))=0,"",VLOOKUP(A24,'Species List'!$A:$G,3,FALSE))</f>
        <v>0</v>
      </c>
      <c r="D24" s="92">
        <f t="shared" si="4"/>
        <v>0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Introduced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3.1578947368421054E-2</v>
      </c>
      <c r="O24" s="91">
        <f t="shared" si="6"/>
        <v>0</v>
      </c>
    </row>
    <row r="25" spans="1:15" ht="13.5" thickBot="1" x14ac:dyDescent="0.25">
      <c r="A25" s="123" t="s">
        <v>2215</v>
      </c>
      <c r="B25" s="40" t="str">
        <f>IF(LEN(VLOOKUP(A25,'Species List'!$A:$G,2,FALSE))=0,"",VLOOKUP(A25,'Species List'!$A:$G,2,FALSE))</f>
        <v>white avens</v>
      </c>
      <c r="C25" s="40">
        <f>IF(LEN(VLOOKUP(A25,'Species List'!$A:$G,3,FALSE))=0,"",VLOOKUP(A25,'Species List'!$A:$G,3,FALSE))</f>
        <v>2</v>
      </c>
      <c r="D25" s="92">
        <f t="shared" si="4"/>
        <v>2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3.1578947368421054E-2</v>
      </c>
      <c r="O25" s="91">
        <f t="shared" si="6"/>
        <v>6.3157894736842107E-2</v>
      </c>
    </row>
    <row r="26" spans="1:15" ht="13.5" thickBot="1" x14ac:dyDescent="0.25">
      <c r="A26" s="123" t="s">
        <v>2217</v>
      </c>
      <c r="B26" s="40" t="str">
        <f>IF(LEN(VLOOKUP(A26,'Species List'!$A:$G,2,FALSE))=0,"",VLOOKUP(A26,'Species List'!$A:$G,2,FALSE))</f>
        <v>rough avens</v>
      </c>
      <c r="C26" s="40">
        <f>IF(LEN(VLOOKUP(A26,'Species List'!$A:$G,3,FALSE))=0,"",VLOOKUP(A26,'Species List'!$A:$G,3,FALSE))</f>
        <v>4</v>
      </c>
      <c r="D26" s="92">
        <f t="shared" si="4"/>
        <v>4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FACW</v>
      </c>
      <c r="H26" s="40" t="str">
        <f>VLOOKUP(A26,'Species List'!$A:$G,7,FALSE)</f>
        <v>W</v>
      </c>
      <c r="J26" s="123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5"/>
        <v>0.5</v>
      </c>
      <c r="N26" s="91">
        <f t="shared" si="2"/>
        <v>5.263157894736842E-3</v>
      </c>
      <c r="O26" s="91">
        <f t="shared" si="6"/>
        <v>2.1052631578947368E-2</v>
      </c>
    </row>
    <row r="27" spans="1:15" ht="13.5" thickBot="1" x14ac:dyDescent="0.25">
      <c r="A27" s="123" t="s">
        <v>2208</v>
      </c>
      <c r="B27" s="40" t="str">
        <f>IF(LEN(VLOOKUP(A27,'Species List'!$A:$G,2,FALSE))=0,"",VLOOKUP(A27,'Species List'!$A:$G,2,FALSE))</f>
        <v>wild geranium</v>
      </c>
      <c r="C27" s="40">
        <f>IF(LEN(VLOOKUP(A27,'Species List'!$A:$G,3,FALSE))=0,"",VLOOKUP(A27,'Species List'!$A:$G,3,FALSE))</f>
        <v>4</v>
      </c>
      <c r="D27" s="92">
        <f t="shared" si="4"/>
        <v>4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FACU</v>
      </c>
      <c r="H27" s="40">
        <f>VLOOKUP(A27,'Species List'!$A:$G,7,FALSE)</f>
        <v>0</v>
      </c>
      <c r="J27" s="123">
        <v>1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3.1578947368421054E-2</v>
      </c>
      <c r="O27" s="91">
        <f t="shared" si="6"/>
        <v>0.12631578947368421</v>
      </c>
    </row>
    <row r="28" spans="1:15" ht="13.5" thickBot="1" x14ac:dyDescent="0.25">
      <c r="A28" s="123" t="s">
        <v>1403</v>
      </c>
      <c r="B28" s="40" t="str">
        <f>IF(LEN(VLOOKUP(A28,'Species List'!$A:$G,2,FALSE))=0,"",VLOOKUP(A28,'Species List'!$A:$G,2,FALSE))</f>
        <v>horseweed</v>
      </c>
      <c r="C28" s="40">
        <f>IF(LEN(VLOOKUP(A28,'Species List'!$A:$G,3,FALSE))=0,"",VLOOKUP(A28,'Species List'!$A:$G,3,FALSE))</f>
        <v>0</v>
      </c>
      <c r="D28" s="92">
        <f t="shared" si="4"/>
        <v>0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[FAC-]</v>
      </c>
      <c r="H28" s="40">
        <f>VLOOKUP(A28,'Species List'!$A:$G,7,FALSE)</f>
        <v>0</v>
      </c>
      <c r="J28" s="123" t="s">
        <v>4824</v>
      </c>
      <c r="K28" s="43" t="str">
        <f>VLOOKUP(J28,'Species List'!$H$1:$J$9,2,FALSE)</f>
        <v>&gt;0-1%</v>
      </c>
      <c r="L28" s="43">
        <f>VLOOKUP(K28,'Species List'!$I$1:$N$8,2,FALSE)</f>
        <v>0.5</v>
      </c>
      <c r="M28" s="93">
        <f t="shared" si="5"/>
        <v>0.5</v>
      </c>
      <c r="N28" s="91">
        <f t="shared" si="2"/>
        <v>5.263157894736842E-3</v>
      </c>
      <c r="O28" s="91">
        <f t="shared" si="6"/>
        <v>0</v>
      </c>
    </row>
    <row r="29" spans="1:15" ht="13.5" thickBot="1" x14ac:dyDescent="0.25">
      <c r="A29" s="123" t="s">
        <v>357</v>
      </c>
      <c r="B29" s="40" t="str">
        <f>IF(LEN(VLOOKUP(A29,'Species List'!$A:$G,2,FALSE))=0,"",VLOOKUP(A29,'Species List'!$A:$G,2,FALSE))</f>
        <v>hog peanut</v>
      </c>
      <c r="C29" s="40">
        <f>IF(LEN(VLOOKUP(A29,'Species List'!$A:$G,3,FALSE))=0,"",VLOOKUP(A29,'Species List'!$A:$G,3,FALSE))</f>
        <v>2</v>
      </c>
      <c r="D29" s="92">
        <f t="shared" si="4"/>
        <v>2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</v>
      </c>
      <c r="H29" s="40">
        <f>VLOOKUP(A29,'Species List'!$A:$G,7,FALSE)</f>
        <v>0</v>
      </c>
      <c r="J29" s="123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3.1578947368421054E-2</v>
      </c>
      <c r="O29" s="91">
        <f t="shared" si="6"/>
        <v>6.3157894736842107E-2</v>
      </c>
    </row>
    <row r="30" spans="1:15" ht="13.5" thickBot="1" x14ac:dyDescent="0.25">
      <c r="A30" s="123" t="s">
        <v>5464</v>
      </c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>
        <v>0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23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3.1578947368421054E-2</v>
      </c>
      <c r="O30" s="91">
        <f t="shared" si="6"/>
        <v>0</v>
      </c>
    </row>
    <row r="31" spans="1:15" ht="13.5" thickBot="1" x14ac:dyDescent="0.25">
      <c r="A31" s="123" t="s">
        <v>3109</v>
      </c>
      <c r="B31" s="40" t="str">
        <f>IF(LEN(VLOOKUP(A31,'Species List'!$A:$G,2,FALSE))=0,"",VLOOKUP(A31,'Species List'!$A:$G,2,FALSE))</f>
        <v>yellow wood sorrel</v>
      </c>
      <c r="C31" s="40">
        <f>IF(LEN(VLOOKUP(A31,'Species List'!$A:$G,3,FALSE))=0,"",VLOOKUP(A31,'Species List'!$A:$G,3,FALSE))</f>
        <v>0</v>
      </c>
      <c r="D31" s="92">
        <f t="shared" si="4"/>
        <v>0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[FACU]</v>
      </c>
      <c r="H31" s="40">
        <f>VLOOKUP(A31,'Species List'!$A:$G,7,FALSE)</f>
        <v>0</v>
      </c>
      <c r="J31" s="123">
        <v>1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3.1578947368421054E-2</v>
      </c>
      <c r="O31" s="91">
        <f t="shared" si="6"/>
        <v>0</v>
      </c>
    </row>
    <row r="32" spans="1:15" ht="13.5" thickBot="1" x14ac:dyDescent="0.25">
      <c r="A32" s="123" t="s">
        <v>4883</v>
      </c>
      <c r="B32" s="40" t="str">
        <f>IF(LEN(VLOOKUP(A32,'Species List'!$A:$G,2,FALSE))=0,"",VLOOKUP(A32,'Species List'!$A:$G,2,FALSE))</f>
        <v/>
      </c>
      <c r="C32" s="40">
        <f>IF(LEN(VLOOKUP(A32,'Species List'!$A:$G,3,FALSE))=0,"",VLOOKUP(A32,'Species List'!$A:$G,3,FALSE))</f>
        <v>3</v>
      </c>
      <c r="D32" s="92">
        <f t="shared" si="4"/>
        <v>3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/>
      </c>
      <c r="H32" s="40">
        <f>VLOOKUP(A32,'Species List'!$A:$G,7,FALSE)</f>
        <v>0</v>
      </c>
      <c r="J32" s="123">
        <v>1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3.1578947368421054E-2</v>
      </c>
      <c r="O32" s="91">
        <f t="shared" si="6"/>
        <v>9.4736842105263161E-2</v>
      </c>
    </row>
    <row r="33" spans="1:15" ht="13.5" thickBot="1" x14ac:dyDescent="0.25">
      <c r="A33" s="123" t="s">
        <v>2810</v>
      </c>
      <c r="B33" s="40" t="str">
        <f>IF(LEN(VLOOKUP(A33,'Species List'!$A:$G,2,FALSE))=0,"",VLOOKUP(A33,'Species List'!$A:$G,2,FALSE))</f>
        <v>Canada mayflower</v>
      </c>
      <c r="C33" s="40">
        <f>IF(LEN(VLOOKUP(A33,'Species List'!$A:$G,3,FALSE))=0,"",VLOOKUP(A33,'Species List'!$A:$G,3,FALSE))</f>
        <v>5</v>
      </c>
      <c r="D33" s="92">
        <f t="shared" si="4"/>
        <v>5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</v>
      </c>
      <c r="H33" s="40">
        <f>VLOOKUP(A33,'Species List'!$A:$G,7,FALSE)</f>
        <v>0</v>
      </c>
      <c r="J33" s="123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3.1578947368421054E-2</v>
      </c>
      <c r="O33" s="91">
        <f t="shared" si="6"/>
        <v>0.15789473684210525</v>
      </c>
    </row>
    <row r="34" spans="1:15" ht="13.5" thickBot="1" x14ac:dyDescent="0.25">
      <c r="A34" s="123" t="s">
        <v>4036</v>
      </c>
      <c r="B34" s="40" t="str">
        <f>IF(LEN(VLOOKUP(A34,'Species List'!$A:$G,2,FALSE))=0,"",VLOOKUP(A34,'Species List'!$A:$G,2,FALSE))</f>
        <v>lance-leaved figwort</v>
      </c>
      <c r="C34" s="40">
        <f>IF(LEN(VLOOKUP(A34,'Species List'!$A:$G,3,FALSE))=0,"",VLOOKUP(A34,'Species List'!$A:$G,3,FALSE))</f>
        <v>4</v>
      </c>
      <c r="D34" s="92">
        <f t="shared" si="4"/>
        <v>4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FACU+</v>
      </c>
      <c r="H34" s="40">
        <f>VLOOKUP(A34,'Species List'!$A:$G,7,FALSE)</f>
        <v>0</v>
      </c>
      <c r="J34" s="123" t="s">
        <v>4824</v>
      </c>
      <c r="K34" s="43" t="str">
        <f>VLOOKUP(J34,'Species List'!$H$1:$J$9,2,FALSE)</f>
        <v>&gt;0-1%</v>
      </c>
      <c r="L34" s="43">
        <f>VLOOKUP(K34,'Species List'!$I$1:$N$8,2,FALSE)</f>
        <v>0.5</v>
      </c>
      <c r="M34" s="93">
        <f t="shared" si="5"/>
        <v>0.5</v>
      </c>
      <c r="N34" s="91">
        <f t="shared" si="2"/>
        <v>5.263157894736842E-3</v>
      </c>
      <c r="O34" s="91">
        <f t="shared" si="6"/>
        <v>2.1052631578947368E-2</v>
      </c>
    </row>
    <row r="35" spans="1:15" ht="13.5" thickBot="1" x14ac:dyDescent="0.25">
      <c r="A35" s="123" t="s">
        <v>2811</v>
      </c>
      <c r="B35" s="40" t="str">
        <f>IF(LEN(VLOOKUP(A35,'Species List'!$A:$G,2,FALSE))=0,"",VLOOKUP(A35,'Species List'!$A:$G,2,FALSE))</f>
        <v/>
      </c>
      <c r="C35" s="40">
        <f>IF(LEN(VLOOKUP(A35,'Species List'!$A:$G,3,FALSE))=0,"",VLOOKUP(A35,'Species List'!$A:$G,3,FALSE))</f>
        <v>5</v>
      </c>
      <c r="D35" s="92">
        <f t="shared" si="4"/>
        <v>5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FACU</v>
      </c>
      <c r="H35" s="40">
        <f>VLOOKUP(A35,'Species List'!$A:$G,7,FALSE)</f>
        <v>0</v>
      </c>
      <c r="J35" s="123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3.1578947368421054E-2</v>
      </c>
      <c r="O35" s="91">
        <f t="shared" si="6"/>
        <v>0.15789473684210525</v>
      </c>
    </row>
    <row r="36" spans="1:15" ht="13.5" thickBot="1" x14ac:dyDescent="0.25">
      <c r="A36" s="123" t="s">
        <v>3351</v>
      </c>
      <c r="B36" s="40" t="str">
        <f>IF(LEN(VLOOKUP(A36,'Species List'!$A:$G,2,FALSE))=0,"",VLOOKUP(A36,'Species List'!$A:$G,2,FALSE))</f>
        <v>Rugel's plantain</v>
      </c>
      <c r="C36" s="40">
        <f>IF(LEN(VLOOKUP(A36,'Species List'!$A:$G,3,FALSE))=0,"",VLOOKUP(A36,'Species List'!$A:$G,3,FALSE))</f>
        <v>0</v>
      </c>
      <c r="D36" s="92">
        <f t="shared" si="4"/>
        <v>0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[FAC]</v>
      </c>
      <c r="H36" s="40">
        <f>VLOOKUP(A36,'Species List'!$A:$G,7,FALSE)</f>
        <v>0</v>
      </c>
      <c r="J36" s="123" t="s">
        <v>4824</v>
      </c>
      <c r="K36" s="43" t="str">
        <f>VLOOKUP(J36,'Species List'!$H$1:$J$9,2,FALSE)</f>
        <v>&gt;0-1%</v>
      </c>
      <c r="L36" s="43">
        <f>VLOOKUP(K36,'Species List'!$I$1:$N$8,2,FALSE)</f>
        <v>0.5</v>
      </c>
      <c r="M36" s="93">
        <f t="shared" si="5"/>
        <v>0.5</v>
      </c>
      <c r="N36" s="91">
        <f t="shared" si="2"/>
        <v>5.263157894736842E-3</v>
      </c>
      <c r="O36" s="91">
        <f t="shared" si="6"/>
        <v>0</v>
      </c>
    </row>
    <row r="37" spans="1:15" ht="13.5" thickBot="1" x14ac:dyDescent="0.25">
      <c r="A37" s="123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23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ht="13.5" thickBot="1" x14ac:dyDescent="0.25">
      <c r="A38" s="123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23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ht="13.5" thickBot="1" x14ac:dyDescent="0.25">
      <c r="A39" s="123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23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ht="13.5" thickBot="1" x14ac:dyDescent="0.25">
      <c r="A40" s="123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23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ht="13.5" thickBot="1" x14ac:dyDescent="0.25">
      <c r="A41" s="123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23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ht="13.5" thickBot="1" x14ac:dyDescent="0.25">
      <c r="A42" s="123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123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ht="13.5" thickBot="1" x14ac:dyDescent="0.25">
      <c r="A43" s="123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123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ht="13.5" thickBot="1" x14ac:dyDescent="0.25">
      <c r="A44" s="123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123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ht="13.5" thickBot="1" x14ac:dyDescent="0.25">
      <c r="A45" s="123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123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ht="13.5" thickBot="1" x14ac:dyDescent="0.25">
      <c r="A46" s="123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123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ht="13.5" thickBot="1" x14ac:dyDescent="0.25">
      <c r="A47" s="123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123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ht="13.5" thickBot="1" x14ac:dyDescent="0.25">
      <c r="A48" s="123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123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ht="13.5" thickBot="1" x14ac:dyDescent="0.25">
      <c r="A49" s="123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123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ht="13.5" thickBot="1" x14ac:dyDescent="0.25">
      <c r="A50" s="123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123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ht="13.5" thickBot="1" x14ac:dyDescent="0.25">
      <c r="A51" s="123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123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ht="13.5" thickBot="1" x14ac:dyDescent="0.25">
      <c r="A52" s="123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123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ht="13.5" thickBot="1" x14ac:dyDescent="0.25">
      <c r="A53" s="123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123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6" t="s">
        <v>4791</v>
      </c>
      <c r="J150" s="147"/>
      <c r="K150" s="148"/>
      <c r="L150" s="57">
        <f>SUMIF(L10:L149,"&gt;=0")</f>
        <v>95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2" sqref="J12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5"/>
      <c r="C7" s="145"/>
      <c r="D7" s="145"/>
      <c r="E7" s="145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1012</v>
      </c>
      <c r="B10" s="40" t="str">
        <f>IF(LEN(VLOOKUP(A10,'Species List'!$A:$G,2,FALSE))=0,"",VLOOKUP(A10,'Species List'!$A:$G,2,FALSE))</f>
        <v>ambiguous sedge</v>
      </c>
      <c r="C10" s="40">
        <f>IF(LEN(VLOOKUP(A10,'Species List'!$A:$G,3,FALSE))=0,"",VLOOKUP(A10,'Species List'!$A:$G,3,FALSE))</f>
        <v>4</v>
      </c>
      <c r="D10" s="92">
        <f t="shared" ref="D10:D26" si="0">VALUE(C10)</f>
        <v>4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</v>
      </c>
      <c r="H10" s="40">
        <f>VLOOKUP(A10,'Species List'!$A:$G,7,FALSE)</f>
        <v>0</v>
      </c>
      <c r="J10" s="123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76" si="1">VALUE(L10)</f>
        <v>0.5</v>
      </c>
      <c r="N10" s="99">
        <f t="shared" ref="N10:N75" si="2">L10/$L$151</f>
        <v>0.14285714285714285</v>
      </c>
      <c r="O10" s="99">
        <f t="shared" ref="O10:O76" si="3">D10*N10</f>
        <v>0.5714285714285714</v>
      </c>
    </row>
    <row r="11" spans="1:15" ht="13.5" thickBot="1" x14ac:dyDescent="0.25">
      <c r="A11" s="123" t="s">
        <v>4866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0.8571428571428571</v>
      </c>
      <c r="O11" s="99">
        <f t="shared" si="3"/>
        <v>2.5714285714285712</v>
      </c>
    </row>
    <row r="12" spans="1:15" ht="13.5" thickBot="1" x14ac:dyDescent="0.25">
      <c r="A12" s="123"/>
      <c r="B12" s="40" t="e">
        <f>IF(LEN(VLOOKUP(A12,'Species List'!$A:$G,2,FALSE))=0,"",VLOOKUP(A12,'Species List'!$A:$G,2,FALSE))</f>
        <v>#N/A</v>
      </c>
      <c r="C12" s="40" t="e">
        <f>IF(LEN(VLOOKUP(A12,'Species List'!$A:$G,3,FALSE))=0,"",VLOOKUP(A12,'Species List'!$A:$G,3,FALSE))</f>
        <v>#N/A</v>
      </c>
      <c r="D12" s="92" t="e">
        <f t="shared" si="0"/>
        <v>#N/A</v>
      </c>
      <c r="E12" s="40" t="e">
        <f>IF(LEN(VLOOKUP(A12,'Species List'!$A:$G,4,FALSE))=0,"",VLOOKUP(A12,'Species List'!$A:$G,4,FALSE))</f>
        <v>#N/A</v>
      </c>
      <c r="F12" s="40" t="e">
        <f>IF(LEN(VLOOKUP(A12,'Species List'!$A:$G,5,FALSE))=0,"",VLOOKUP(A12,'Species List'!$A:$G,5,FALSE))</f>
        <v>#N/A</v>
      </c>
      <c r="G12" s="40" t="e">
        <f>IF(LEN(VLOOKUP(A12,'Species List'!$A:$G,6,FALSE))=0,"",VLOOKUP(A12,'Species List'!$A:$G,6,FALSE))</f>
        <v>#N/A</v>
      </c>
      <c r="H12" s="40" t="e">
        <f>VLOOKUP(A12,'Species List'!$A:$G,7,FALSE)</f>
        <v>#N/A</v>
      </c>
      <c r="J12" s="123"/>
      <c r="K12" s="43" t="e">
        <f>VLOOKUP(J12,'Species List'!$H$1:$J$9,2,FALSE)</f>
        <v>#N/A</v>
      </c>
      <c r="L12" s="43" t="e">
        <f>VLOOKUP(K12,'Species List'!$I$1:$N$8,2,FALSE)</f>
        <v>#N/A</v>
      </c>
      <c r="M12" s="93" t="e">
        <f t="shared" si="1"/>
        <v>#N/A</v>
      </c>
      <c r="N12" s="98" t="e">
        <f t="shared" si="2"/>
        <v>#N/A</v>
      </c>
      <c r="O12" s="98" t="e">
        <f t="shared" si="3"/>
        <v>#N/A</v>
      </c>
    </row>
    <row r="13" spans="1:15" ht="13.5" thickBot="1" x14ac:dyDescent="0.25">
      <c r="A13" s="123"/>
      <c r="B13" s="40" t="e">
        <f>IF(LEN(VLOOKUP(A13,'Species List'!$A:$G,2,FALSE))=0,"",VLOOKUP(A13,'Species List'!$A:$G,2,FALSE))</f>
        <v>#N/A</v>
      </c>
      <c r="C13" s="40" t="e">
        <f>IF(LEN(VLOOKUP(A13,'Species List'!$A:$G,3,FALSE))=0,"",VLOOKUP(A13,'Species List'!$A:$G,3,FALSE))</f>
        <v>#N/A</v>
      </c>
      <c r="D13" s="92" t="e">
        <f t="shared" si="0"/>
        <v>#N/A</v>
      </c>
      <c r="E13" s="40" t="e">
        <f>IF(LEN(VLOOKUP(A13,'Species List'!$A:$G,4,FALSE))=0,"",VLOOKUP(A13,'Species List'!$A:$G,4,FALSE))</f>
        <v>#N/A</v>
      </c>
      <c r="F13" s="40" t="e">
        <f>IF(LEN(VLOOKUP(A13,'Species List'!$A:$G,5,FALSE))=0,"",VLOOKUP(A13,'Species List'!$A:$G,5,FALSE))</f>
        <v>#N/A</v>
      </c>
      <c r="G13" s="40" t="e">
        <f>IF(LEN(VLOOKUP(A13,'Species List'!$A:$G,6,FALSE))=0,"",VLOOKUP(A13,'Species List'!$A:$G,6,FALSE))</f>
        <v>#N/A</v>
      </c>
      <c r="H13" s="40" t="e">
        <f>VLOOKUP(A13,'Species List'!$A:$G,7,FALSE)</f>
        <v>#N/A</v>
      </c>
      <c r="J13" s="123"/>
      <c r="K13" s="43" t="e">
        <f>VLOOKUP(J13,'Species List'!$H$1:$J$9,2,FALSE)</f>
        <v>#N/A</v>
      </c>
      <c r="L13" s="43" t="e">
        <f>VLOOKUP(K13,'Species List'!$I$1:$N$8,2,FALSE)</f>
        <v>#N/A</v>
      </c>
      <c r="M13" s="93" t="e">
        <f t="shared" si="1"/>
        <v>#N/A</v>
      </c>
      <c r="N13" s="91" t="e">
        <f t="shared" si="2"/>
        <v>#N/A</v>
      </c>
      <c r="O13" s="91" t="e">
        <f t="shared" si="3"/>
        <v>#N/A</v>
      </c>
    </row>
    <row r="14" spans="1:15" ht="13.5" thickBot="1" x14ac:dyDescent="0.25">
      <c r="A14" s="123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0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23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1"/>
        <v>#N/A</v>
      </c>
      <c r="N14" s="91" t="e">
        <f t="shared" si="2"/>
        <v>#N/A</v>
      </c>
      <c r="O14" s="91" t="e">
        <f t="shared" si="3"/>
        <v>#N/A</v>
      </c>
    </row>
    <row r="15" spans="1:15" ht="13.5" thickBot="1" x14ac:dyDescent="0.25">
      <c r="A15" s="123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23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91" t="e">
        <f t="shared" si="2"/>
        <v>#N/A</v>
      </c>
      <c r="O15" s="91" t="e">
        <f t="shared" si="3"/>
        <v>#N/A</v>
      </c>
    </row>
    <row r="16" spans="1:15" ht="13.5" thickBot="1" x14ac:dyDescent="0.25">
      <c r="A16" s="123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23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91" t="e">
        <f t="shared" si="2"/>
        <v>#N/A</v>
      </c>
      <c r="O16" s="91" t="e">
        <f t="shared" si="3"/>
        <v>#N/A</v>
      </c>
    </row>
    <row r="17" spans="1:15" ht="13.5" thickBot="1" x14ac:dyDescent="0.25">
      <c r="A17" s="123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ht="13.5" thickBot="1" x14ac:dyDescent="0.25">
      <c r="A18" s="123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23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ref="D27:D76" si="4"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6" t="s">
        <v>4791</v>
      </c>
      <c r="J151" s="147"/>
      <c r="K151" s="148"/>
      <c r="L151" s="57">
        <f>SUMIF(L10:L150,"&gt;=0")</f>
        <v>3.5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2659-8F8C-49A0-B5D2-DBC2235E9AEA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5465</v>
      </c>
    </row>
    <row r="2" spans="1:1" x14ac:dyDescent="0.2">
      <c r="A2" t="s">
        <v>5466</v>
      </c>
    </row>
    <row r="3" spans="1:1" x14ac:dyDescent="0.2">
      <c r="A3" t="s">
        <v>5467</v>
      </c>
    </row>
    <row r="4" spans="1:1" x14ac:dyDescent="0.2">
      <c r="A4" t="s">
        <v>5468</v>
      </c>
    </row>
    <row r="5" spans="1:1" x14ac:dyDescent="0.2">
      <c r="A5" t="s">
        <v>5469</v>
      </c>
    </row>
    <row r="6" spans="1:1" x14ac:dyDescent="0.2">
      <c r="A6" t="s">
        <v>5470</v>
      </c>
    </row>
    <row r="7" spans="1:1" x14ac:dyDescent="0.2">
      <c r="A7" t="s">
        <v>5471</v>
      </c>
    </row>
    <row r="8" spans="1:1" x14ac:dyDescent="0.2">
      <c r="A8" t="s">
        <v>5472</v>
      </c>
    </row>
    <row r="9" spans="1:1" x14ac:dyDescent="0.2">
      <c r="A9" t="s">
        <v>5473</v>
      </c>
    </row>
    <row r="10" spans="1:1" x14ac:dyDescent="0.2">
      <c r="A10" t="s">
        <v>5474</v>
      </c>
    </row>
    <row r="11" spans="1:1" x14ac:dyDescent="0.2">
      <c r="A11" t="s">
        <v>5475</v>
      </c>
    </row>
    <row r="12" spans="1:1" x14ac:dyDescent="0.2">
      <c r="A12" t="s">
        <v>5476</v>
      </c>
    </row>
    <row r="13" spans="1:1" x14ac:dyDescent="0.2">
      <c r="A13" t="s">
        <v>5477</v>
      </c>
    </row>
    <row r="14" spans="1:1" x14ac:dyDescent="0.2">
      <c r="A14" t="s">
        <v>5478</v>
      </c>
    </row>
    <row r="15" spans="1:1" x14ac:dyDescent="0.2">
      <c r="A15" t="s">
        <v>5479</v>
      </c>
    </row>
    <row r="16" spans="1:1" x14ac:dyDescent="0.2">
      <c r="A16" t="s">
        <v>5480</v>
      </c>
    </row>
    <row r="17" spans="1:1" x14ac:dyDescent="0.2">
      <c r="A17" t="s">
        <v>5481</v>
      </c>
    </row>
    <row r="18" spans="1:1" x14ac:dyDescent="0.2">
      <c r="A18" t="s">
        <v>5482</v>
      </c>
    </row>
    <row r="19" spans="1:1" x14ac:dyDescent="0.2">
      <c r="A19" t="s">
        <v>5483</v>
      </c>
    </row>
    <row r="20" spans="1:1" x14ac:dyDescent="0.2">
      <c r="A20" t="s">
        <v>5484</v>
      </c>
    </row>
    <row r="21" spans="1:1" x14ac:dyDescent="0.2">
      <c r="A21" t="s">
        <v>5485</v>
      </c>
    </row>
    <row r="22" spans="1:1" x14ac:dyDescent="0.2">
      <c r="A22" t="s">
        <v>5486</v>
      </c>
    </row>
    <row r="23" spans="1:1" x14ac:dyDescent="0.2">
      <c r="A23" t="s">
        <v>5487</v>
      </c>
    </row>
    <row r="24" spans="1:1" x14ac:dyDescent="0.2">
      <c r="A24" t="s">
        <v>5488</v>
      </c>
    </row>
    <row r="25" spans="1:1" x14ac:dyDescent="0.2">
      <c r="A25" t="s">
        <v>5489</v>
      </c>
    </row>
    <row r="26" spans="1:1" x14ac:dyDescent="0.2">
      <c r="A26" t="s">
        <v>5490</v>
      </c>
    </row>
    <row r="27" spans="1:1" x14ac:dyDescent="0.2">
      <c r="A27" t="s">
        <v>5491</v>
      </c>
    </row>
    <row r="28" spans="1:1" x14ac:dyDescent="0.2">
      <c r="A28" t="s">
        <v>5492</v>
      </c>
    </row>
    <row r="29" spans="1:1" x14ac:dyDescent="0.2">
      <c r="A29" t="s">
        <v>5493</v>
      </c>
    </row>
    <row r="30" spans="1:1" x14ac:dyDescent="0.2">
      <c r="A30" t="s">
        <v>5494</v>
      </c>
    </row>
    <row r="31" spans="1:1" x14ac:dyDescent="0.2">
      <c r="A31" t="s">
        <v>5495</v>
      </c>
    </row>
    <row r="32" spans="1:1" x14ac:dyDescent="0.2">
      <c r="A32" t="s">
        <v>5496</v>
      </c>
    </row>
    <row r="33" spans="1:1" x14ac:dyDescent="0.2">
      <c r="A33" t="s">
        <v>5497</v>
      </c>
    </row>
    <row r="34" spans="1:1" x14ac:dyDescent="0.2">
      <c r="A34" t="s">
        <v>5498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9" t="s">
        <v>4779</v>
      </c>
      <c r="B1" s="149"/>
      <c r="C1" s="149"/>
      <c r="D1" s="149"/>
      <c r="E1" s="149"/>
      <c r="F1" s="149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COUNTIF(Woody!$F$10:$F$140,"Native")</f>
        <v>15</v>
      </c>
      <c r="C4" s="95">
        <f>COUNTIF(Forbs!$F$10:$F$147,"Native")</f>
        <v>21</v>
      </c>
      <c r="D4" s="95">
        <f>COUNTIF(Grasses!$F$10:$F$149,"Native")</f>
        <v>2</v>
      </c>
      <c r="E4" s="95">
        <f>AVERAGE(B4:D4)</f>
        <v>12.666666666666666</v>
      </c>
      <c r="F4" s="95">
        <f>SUM(B4:D4)</f>
        <v>38</v>
      </c>
    </row>
    <row r="5" spans="1:6" ht="18" x14ac:dyDescent="0.25">
      <c r="A5" s="49" t="s">
        <v>4784</v>
      </c>
      <c r="B5" s="95">
        <f>COUNTIF(Woody!$F10:$F190,"Introduced")</f>
        <v>4</v>
      </c>
      <c r="C5" s="95">
        <f>COUNTIF(Forbs!$F10:$F198,"Introduced")</f>
        <v>5</v>
      </c>
      <c r="D5" s="95">
        <f>COUNTIF(Grasses!$F10:$F199,"Introduced")</f>
        <v>0</v>
      </c>
      <c r="E5" s="95">
        <f t="shared" ref="E5:E6" si="0">AVERAGE(B5:D5)</f>
        <v>3</v>
      </c>
      <c r="F5" s="95">
        <f>SUM(B5:D5)</f>
        <v>9</v>
      </c>
    </row>
    <row r="6" spans="1:6" s="75" customFormat="1" ht="21" x14ac:dyDescent="0.35">
      <c r="A6" s="49" t="s">
        <v>4826</v>
      </c>
      <c r="B6" s="95">
        <f>SUM(B4:B5)</f>
        <v>19</v>
      </c>
      <c r="C6" s="95">
        <f>SUM(C4:C5)</f>
        <v>26</v>
      </c>
      <c r="D6" s="95">
        <f>SUM(D4:D5)</f>
        <v>2</v>
      </c>
      <c r="E6" s="95">
        <f t="shared" si="0"/>
        <v>15.666666666666666</v>
      </c>
      <c r="F6" s="95">
        <f>SUM(B6:D6)</f>
        <v>47</v>
      </c>
    </row>
    <row r="7" spans="1:6" ht="18" x14ac:dyDescent="0.25">
      <c r="A7" s="49" t="s">
        <v>4785</v>
      </c>
      <c r="B7" s="95">
        <f>AVERAGEIF(Woody!D10:D141,"&gt;0")</f>
        <v>3.0666666666666669</v>
      </c>
      <c r="C7" s="95">
        <f>AVERAGEIF(Forbs!D10:D149,"&gt;0")</f>
        <v>3.2777777777777777</v>
      </c>
      <c r="D7" s="95">
        <f>AVERAGEIF(Grasses!D10:D150,"&gt;0")</f>
        <v>3.5</v>
      </c>
      <c r="E7" s="95">
        <f>AVERAGE(B7:D7)</f>
        <v>3.2814814814814817</v>
      </c>
      <c r="F7" s="95">
        <f>(SUMIF(Woody!D10:D141,"&gt;0")+SUMIF(Forbs!D10:D149,"&gt;0")+SUMIF(Grasses!D10:D150,"&gt;0"))/(COUNTIF(Woody!D10:D141,"&gt;0")+COUNTIF(Forbs!D10:D149,"&gt;0")+COUNTIF(Grasses!D10:D150,"&gt;0"))</f>
        <v>3.2</v>
      </c>
    </row>
    <row r="8" spans="1:6" s="31" customFormat="1" ht="21" x14ac:dyDescent="0.35">
      <c r="A8" s="49" t="s">
        <v>4827</v>
      </c>
      <c r="B8" s="95">
        <f>AVERAGEIF(Woody!D10:D141,"&gt;=0")</f>
        <v>2.2999999999999998</v>
      </c>
      <c r="C8" s="95">
        <f>AVERAGEIF(Forbs!D10:D149,"&gt;=0")</f>
        <v>2.1851851851851851</v>
      </c>
      <c r="D8" s="95">
        <f>AVERAGEIF(Grasses!D10:D150,"&gt;=0")</f>
        <v>3.5</v>
      </c>
      <c r="E8" s="95">
        <f>AVERAGE(B8:D8)</f>
        <v>2.6617283950617283</v>
      </c>
      <c r="F8" s="95">
        <f>(SUMIF(Woody!D10:D141,"&gt;=0")+SUMIF(Forbs!D10:D149,"&gt;=0")+SUMIF(Grasses!D10:D150,"&gt;=0"))/(COUNTIF(Woody!D10:D141,"&gt;=0")+COUNTIF(Forbs!D10:D149,"&gt;=0")+COUNTIF(Grasses!D10:D150,"&gt;=0"))</f>
        <v>2.2857142857142856</v>
      </c>
    </row>
    <row r="9" spans="1:6" ht="18" x14ac:dyDescent="0.25">
      <c r="A9" s="49" t="s">
        <v>4778</v>
      </c>
      <c r="B9" s="95">
        <f>SQRT(B4)*B7</f>
        <v>11.877148928369413</v>
      </c>
      <c r="C9" s="95">
        <f>SQRT(C4)*C7</f>
        <v>15.020664777910808</v>
      </c>
      <c r="D9" s="95">
        <f>SQRT(D4)*D7</f>
        <v>4.9497474683058327</v>
      </c>
      <c r="E9" s="95">
        <f>SQRT(E4)*E7</f>
        <v>11.678878186789806</v>
      </c>
      <c r="F9" s="95">
        <f>SQRT(F4)*F7</f>
        <v>19.726124809500725</v>
      </c>
    </row>
    <row r="10" spans="1:6" s="76" customFormat="1" ht="21" x14ac:dyDescent="0.35">
      <c r="A10" s="49" t="s">
        <v>4828</v>
      </c>
      <c r="B10" s="95">
        <f>SQRT(B6)*B8</f>
        <v>10.025467570143549</v>
      </c>
      <c r="C10" s="95">
        <f>SQRT(C6)*C8</f>
        <v>11.142301900073122</v>
      </c>
      <c r="D10" s="95">
        <f>SQRT(D6)*D8</f>
        <v>4.9497474683058327</v>
      </c>
      <c r="E10" s="95">
        <f>SQRT(E6)*E8</f>
        <v>10.535424501915124</v>
      </c>
      <c r="F10" s="95">
        <f>SQRT(F6)*F8</f>
        <v>15.670067658059528</v>
      </c>
    </row>
    <row r="11" spans="1:6" ht="18" x14ac:dyDescent="0.25">
      <c r="A11" s="49" t="s">
        <v>4786</v>
      </c>
      <c r="B11" s="95">
        <f>SUMIF(Woody!$M$10:$M$141,"&gt;=0")</f>
        <v>136</v>
      </c>
      <c r="C11" s="95">
        <f>SUMIF(Forbs!$M$10:$M$150,"&gt;=0")</f>
        <v>95</v>
      </c>
      <c r="D11" s="95">
        <f>SUMIF(Grasses!$M$10:$M$150,"&gt;=0")</f>
        <v>3.5</v>
      </c>
      <c r="E11" s="95">
        <f>AVERAGE(B11:D11)</f>
        <v>78.166666666666671</v>
      </c>
      <c r="F11" s="95">
        <f>SUM(B11:D11)</f>
        <v>234.5</v>
      </c>
    </row>
    <row r="12" spans="1:6" ht="18" x14ac:dyDescent="0.25">
      <c r="A12" s="49" t="s">
        <v>4792</v>
      </c>
      <c r="B12" s="95">
        <f>SUMIF(Woody!$F$10:$F$141,"Introduced",Woody!$L$10:$L$141)</f>
        <v>9.5</v>
      </c>
      <c r="C12" s="95">
        <f>SUMIF(Forbs!$F$10:$F$150,"Introduced",Forbs!$L$10:$L$150)</f>
        <v>27</v>
      </c>
      <c r="D12" s="95">
        <f>SUMIF(Grasses!$F$10:$F$150,"Introduced",Grasses!$L$10:$L$150)</f>
        <v>0</v>
      </c>
      <c r="E12" s="95">
        <f>AVERAGE(B12:D12)</f>
        <v>12.166666666666666</v>
      </c>
      <c r="F12" s="95">
        <f>SUM(B12:D12)</f>
        <v>36.5</v>
      </c>
    </row>
    <row r="13" spans="1:6" ht="18.75" thickBot="1" x14ac:dyDescent="0.3">
      <c r="A13" s="50" t="s">
        <v>4787</v>
      </c>
      <c r="B13" s="96">
        <f>B12/B11</f>
        <v>6.985294117647059E-2</v>
      </c>
      <c r="C13" s="96">
        <f>C12/C11</f>
        <v>0.28421052631578947</v>
      </c>
      <c r="D13" s="96">
        <f>D12/D11</f>
        <v>0</v>
      </c>
      <c r="E13" s="96">
        <f>E12/E11</f>
        <v>0.15565031982942429</v>
      </c>
      <c r="F13" s="96">
        <f>F12/F11</f>
        <v>0.15565031982942432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SUMIF(Woody!$O$10:$O$141,"&gt;=0")</f>
        <v>3.3897058823529416</v>
      </c>
      <c r="C15" s="94">
        <f>SUMIF(Forbs!$O$10:$O$149,"&gt;=0")</f>
        <v>1.9052631578947372</v>
      </c>
      <c r="D15" s="94">
        <f>SUMIF(Grasses!$O$10:$O$150,"&gt;=0")</f>
        <v>3.1428571428571423</v>
      </c>
      <c r="E15" s="94">
        <f>AVERAGE(B15:D15)</f>
        <v>2.812608727701607</v>
      </c>
      <c r="F15" s="95">
        <f>SUM(B15:D15)</f>
        <v>8.4378261831048214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2025-11-24T17:01:41Z</dcterms:modified>
</cp:coreProperties>
</file>