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6BCEF7C9-56ED-4B56-B487-200959990BCF}" xr6:coauthVersionLast="47" xr6:coauthVersionMax="47" xr10:uidLastSave="{00000000-0000-0000-0000-000000000000}"/>
  <bookViews>
    <workbookView xWindow="2865" yWindow="3090" windowWidth="21600" windowHeight="11295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0" l="1"/>
  <c r="F18" i="6"/>
  <c r="F19" i="6"/>
  <c r="F20" i="6"/>
  <c r="F21" i="6"/>
  <c r="F22" i="6"/>
  <c r="F23" i="6"/>
  <c r="F24" i="6"/>
  <c r="F25" i="6"/>
  <c r="D22" i="6"/>
  <c r="D23" i="6"/>
  <c r="D24" i="6"/>
  <c r="D25" i="6"/>
  <c r="D26" i="6"/>
  <c r="D48" i="10"/>
  <c r="D53" i="10"/>
  <c r="D32" i="9"/>
  <c r="B10" i="9"/>
  <c r="C10" i="9"/>
  <c r="D10" i="9" s="1"/>
  <c r="E10" i="9"/>
  <c r="F10" i="9"/>
  <c r="G10" i="9"/>
  <c r="H10" i="9"/>
  <c r="K10" i="9"/>
  <c r="L10" i="9" s="1"/>
  <c r="B11" i="9"/>
  <c r="C11" i="9"/>
  <c r="D11" i="9" s="1"/>
  <c r="E11" i="9"/>
  <c r="F11" i="9"/>
  <c r="G11" i="9"/>
  <c r="H11" i="9"/>
  <c r="K11" i="9"/>
  <c r="L11" i="9"/>
  <c r="M11" i="9"/>
  <c r="B12" i="9"/>
  <c r="C12" i="9"/>
  <c r="D12" i="9" s="1"/>
  <c r="E12" i="9"/>
  <c r="F12" i="9"/>
  <c r="G12" i="9"/>
  <c r="H12" i="9"/>
  <c r="K12" i="9"/>
  <c r="L12" i="9" s="1"/>
  <c r="B13" i="9"/>
  <c r="C13" i="9"/>
  <c r="D13" i="9" s="1"/>
  <c r="E13" i="9"/>
  <c r="F13" i="9"/>
  <c r="G13" i="9"/>
  <c r="H13" i="9"/>
  <c r="K13" i="9"/>
  <c r="L13" i="9"/>
  <c r="M13" i="9"/>
  <c r="B14" i="9"/>
  <c r="C14" i="9"/>
  <c r="D14" i="9" s="1"/>
  <c r="E14" i="9"/>
  <c r="F14" i="9"/>
  <c r="G14" i="9"/>
  <c r="H14" i="9"/>
  <c r="K14" i="9"/>
  <c r="L14" i="9" s="1"/>
  <c r="B15" i="9"/>
  <c r="C15" i="9"/>
  <c r="D15" i="9" s="1"/>
  <c r="E15" i="9"/>
  <c r="F15" i="9"/>
  <c r="G15" i="9"/>
  <c r="H15" i="9"/>
  <c r="K15" i="9"/>
  <c r="L15" i="9" s="1"/>
  <c r="M15" i="9" s="1"/>
  <c r="B16" i="9"/>
  <c r="C16" i="9"/>
  <c r="D16" i="9" s="1"/>
  <c r="E16" i="9"/>
  <c r="F16" i="9"/>
  <c r="G16" i="9"/>
  <c r="H16" i="9"/>
  <c r="K16" i="9"/>
  <c r="L16" i="9" s="1"/>
  <c r="B17" i="9"/>
  <c r="C17" i="9"/>
  <c r="D17" i="9" s="1"/>
  <c r="E17" i="9"/>
  <c r="F17" i="9"/>
  <c r="G17" i="9"/>
  <c r="H17" i="9"/>
  <c r="K17" i="9"/>
  <c r="L17" i="9"/>
  <c r="M17" i="9"/>
  <c r="B18" i="9"/>
  <c r="C18" i="9"/>
  <c r="D18" i="9" s="1"/>
  <c r="E18" i="9"/>
  <c r="F18" i="9"/>
  <c r="G18" i="9"/>
  <c r="H18" i="9"/>
  <c r="K18" i="9"/>
  <c r="L18" i="9" s="1"/>
  <c r="B19" i="9"/>
  <c r="C19" i="9"/>
  <c r="D19" i="9" s="1"/>
  <c r="E19" i="9"/>
  <c r="F19" i="9"/>
  <c r="G19" i="9"/>
  <c r="H19" i="9"/>
  <c r="K19" i="9"/>
  <c r="L19" i="9" s="1"/>
  <c r="M19" i="9" s="1"/>
  <c r="B20" i="9"/>
  <c r="C20" i="9"/>
  <c r="D20" i="9" s="1"/>
  <c r="E20" i="9"/>
  <c r="F20" i="9"/>
  <c r="G20" i="9"/>
  <c r="H20" i="9"/>
  <c r="K20" i="9"/>
  <c r="L20" i="9" s="1"/>
  <c r="B21" i="9"/>
  <c r="C21" i="9"/>
  <c r="D21" i="9" s="1"/>
  <c r="E21" i="9"/>
  <c r="F21" i="9"/>
  <c r="G21" i="9"/>
  <c r="H21" i="9"/>
  <c r="K21" i="9"/>
  <c r="L21" i="9" s="1"/>
  <c r="M21" i="9" s="1"/>
  <c r="B22" i="9"/>
  <c r="C22" i="9"/>
  <c r="D22" i="9" s="1"/>
  <c r="E22" i="9"/>
  <c r="F22" i="9"/>
  <c r="G22" i="9"/>
  <c r="H22" i="9"/>
  <c r="K22" i="9"/>
  <c r="L22" i="9" s="1"/>
  <c r="B23" i="9"/>
  <c r="C23" i="9"/>
  <c r="D23" i="9" s="1"/>
  <c r="E23" i="9"/>
  <c r="F23" i="9"/>
  <c r="G23" i="9"/>
  <c r="H23" i="9"/>
  <c r="K23" i="9"/>
  <c r="L23" i="9"/>
  <c r="M23" i="9"/>
  <c r="B24" i="9"/>
  <c r="C24" i="9"/>
  <c r="D24" i="9" s="1"/>
  <c r="E24" i="9"/>
  <c r="F24" i="9"/>
  <c r="G24" i="9"/>
  <c r="H24" i="9"/>
  <c r="K24" i="9"/>
  <c r="L24" i="9" s="1"/>
  <c r="B25" i="9"/>
  <c r="C25" i="9"/>
  <c r="D25" i="9" s="1"/>
  <c r="E25" i="9"/>
  <c r="F25" i="9"/>
  <c r="G25" i="9"/>
  <c r="H25" i="9"/>
  <c r="K25" i="9"/>
  <c r="L25" i="9"/>
  <c r="M25" i="9"/>
  <c r="B26" i="9"/>
  <c r="C26" i="9"/>
  <c r="D26" i="9" s="1"/>
  <c r="E26" i="9"/>
  <c r="F26" i="9"/>
  <c r="G26" i="9"/>
  <c r="H26" i="9"/>
  <c r="K26" i="9"/>
  <c r="L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B29" i="9"/>
  <c r="C29" i="9"/>
  <c r="D29" i="9" s="1"/>
  <c r="E29" i="9"/>
  <c r="F29" i="9"/>
  <c r="G29" i="9"/>
  <c r="H29" i="9"/>
  <c r="K29" i="9"/>
  <c r="L29" i="9"/>
  <c r="M29" i="9"/>
  <c r="B30" i="9"/>
  <c r="C30" i="9"/>
  <c r="D30" i="9" s="1"/>
  <c r="E30" i="9"/>
  <c r="F30" i="9"/>
  <c r="G30" i="9"/>
  <c r="H30" i="9"/>
  <c r="K30" i="9"/>
  <c r="L30" i="9" s="1"/>
  <c r="B31" i="9"/>
  <c r="C31" i="9"/>
  <c r="D31" i="9" s="1"/>
  <c r="E31" i="9"/>
  <c r="F31" i="9"/>
  <c r="G31" i="9"/>
  <c r="H31" i="9"/>
  <c r="K31" i="9"/>
  <c r="L31" i="9"/>
  <c r="M31" i="9"/>
  <c r="B32" i="9"/>
  <c r="C32" i="9"/>
  <c r="E32" i="9"/>
  <c r="F32" i="9"/>
  <c r="G32" i="9"/>
  <c r="H32" i="9"/>
  <c r="K32" i="9"/>
  <c r="L32" i="9" s="1"/>
  <c r="B33" i="9"/>
  <c r="C33" i="9"/>
  <c r="D33" i="9" s="1"/>
  <c r="E33" i="9"/>
  <c r="F33" i="9"/>
  <c r="G33" i="9"/>
  <c r="H33" i="9"/>
  <c r="K33" i="9"/>
  <c r="L33" i="9" s="1"/>
  <c r="B34" i="9"/>
  <c r="C34" i="9"/>
  <c r="D34" i="9" s="1"/>
  <c r="E34" i="9"/>
  <c r="F34" i="9"/>
  <c r="G34" i="9"/>
  <c r="H34" i="9"/>
  <c r="K34" i="9"/>
  <c r="L34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B4" i="7" l="1"/>
  <c r="B7" i="7"/>
  <c r="B12" i="7"/>
  <c r="B8" i="7"/>
  <c r="B5" i="7"/>
  <c r="B6" i="7" s="1"/>
  <c r="M10" i="9"/>
  <c r="M30" i="9"/>
  <c r="M12" i="9"/>
  <c r="M32" i="9"/>
  <c r="M20" i="9"/>
  <c r="M14" i="9"/>
  <c r="M28" i="9"/>
  <c r="M16" i="9"/>
  <c r="M33" i="9"/>
  <c r="M24" i="9"/>
  <c r="M18" i="9"/>
  <c r="M26" i="9"/>
  <c r="M34" i="9"/>
  <c r="M22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B11" i="7" l="1"/>
  <c r="B13" i="7" s="1"/>
  <c r="B10" i="7"/>
  <c r="B9" i="7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D18" i="6" s="1"/>
  <c r="C19" i="6"/>
  <c r="D19" i="6" s="1"/>
  <c r="C20" i="6"/>
  <c r="D20" i="6" s="1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C7" i="7" l="1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C9" i="7" l="1"/>
  <c r="C6" i="7"/>
  <c r="C10" i="7" s="1"/>
  <c r="C11" i="7"/>
  <c r="C13" i="7" s="1"/>
  <c r="N11" i="9"/>
  <c r="O11" i="9" s="1"/>
  <c r="N13" i="9"/>
  <c r="O13" i="9" s="1"/>
  <c r="N15" i="9"/>
  <c r="O15" i="9" s="1"/>
  <c r="N17" i="9"/>
  <c r="O17" i="9" s="1"/>
  <c r="N19" i="9"/>
  <c r="O19" i="9" s="1"/>
  <c r="N21" i="9"/>
  <c r="O21" i="9" s="1"/>
  <c r="N23" i="9"/>
  <c r="O23" i="9" s="1"/>
  <c r="N25" i="9"/>
  <c r="O25" i="9" s="1"/>
  <c r="N27" i="9"/>
  <c r="O27" i="9" s="1"/>
  <c r="N29" i="9"/>
  <c r="O29" i="9" s="1"/>
  <c r="N31" i="9"/>
  <c r="O31" i="9" s="1"/>
  <c r="N24" i="9"/>
  <c r="O24" i="9" s="1"/>
  <c r="N18" i="9"/>
  <c r="O18" i="9" s="1"/>
  <c r="N12" i="9"/>
  <c r="O12" i="9" s="1"/>
  <c r="N26" i="9"/>
  <c r="O26" i="9" s="1"/>
  <c r="N32" i="9"/>
  <c r="O32" i="9" s="1"/>
  <c r="N20" i="9"/>
  <c r="O20" i="9" s="1"/>
  <c r="N34" i="9"/>
  <c r="O34" i="9" s="1"/>
  <c r="N16" i="9"/>
  <c r="O16" i="9" s="1"/>
  <c r="N10" i="9"/>
  <c r="O10" i="9" s="1"/>
  <c r="N30" i="9"/>
  <c r="O30" i="9" s="1"/>
  <c r="N14" i="9"/>
  <c r="O14" i="9" s="1"/>
  <c r="N28" i="9"/>
  <c r="O28" i="9" s="1"/>
  <c r="N22" i="9"/>
  <c r="O22" i="9" s="1"/>
  <c r="N33" i="9"/>
  <c r="O33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<sst xmlns="http://schemas.openxmlformats.org/spreadsheetml/2006/main" count="13267" uniqueCount="5467">
  <si>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</si>
  <si>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</si>
  <si>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</si>
  <si>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</si>
  <si>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</si>
  <si>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</si>
  <si>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</si>
  <si>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</si>
  <si>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</si>
  <si>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</si>
  <si>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</si>
  <si>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</si>
  <si>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</si>
  <si>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</si>
  <si>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</si>
  <si>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</si>
  <si>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</si>
  <si>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</si>
  <si>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</si>
  <si>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</si>
  <si>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</si>
  <si>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</si>
  <si>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</si>
  <si>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</si>
  <si>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</si>
  <si>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</si>
  <si>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</si>
  <si>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</si>
  <si>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</si>
  <si>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</si>
  <si>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</si>
  <si>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</si>
  <si>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</si>
  <si>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</si>
  <si>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</si>
  <si>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</si>
  <si>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</si>
  <si>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</si>
  <si>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</si>
  <si>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</si>
  <si>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</si>
  <si>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</si>
  <si>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</si>
  <si>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</si>
  <si>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</si>
  <si>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</si>
  <si>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</si>
  <si>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</si>
  <si>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</si>
  <si>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</si>
  <si>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</si>
  <si>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</si>
  <si>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</si>
  <si>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</si>
  <si>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</si>
  <si>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</si>
  <si>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</si>
  <si>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</si>
  <si>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</si>
  <si>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</si>
  <si>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</si>
  <si>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</si>
  <si>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</si>
  <si>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</si>
  <si>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</si>
  <si>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</si>
  <si>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</si>
  <si>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</si>
  <si>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</si>
  <si>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</si>
  <si>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</si>
  <si>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</si>
  <si>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</si>
  <si>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</si>
  <si>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</si>
  <si>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</si>
  <si>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</si>
  <si>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</si>
  <si>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</si>
  <si>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</si>
  <si>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</si>
  <si>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</si>
  <si>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</si>
  <si>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</si>
  <si>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</si>
  <si>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</si>
  <si>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</si>
  <si>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</si>
  <si>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</si>
  <si>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</si>
  <si>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</si>
  <si>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</si>
  <si>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</si>
  <si>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</si>
  <si>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</si>
  <si>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</si>
  <si>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</si>
  <si>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</si>
  <si>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</si>
  <si>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</si>
  <si>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</si>
  <si>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</si>
  <si>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</si>
  <si>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</si>
  <si>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</si>
  <si>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</si>
  <si>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</si>
  <si>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</si>
  <si>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</si>
  <si>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</si>
  <si>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</si>
  <si>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</si>
  <si>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</si>
  <si>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</si>
  <si>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</si>
  <si>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</si>
  <si>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</si>
  <si>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</si>
  <si>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</si>
  <si>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</si>
  <si>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</si>
  <si>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</si>
  <si>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</si>
  <si>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</si>
  <si>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</si>
  <si>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</si>
  <si>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</si>
  <si>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</si>
  <si>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</si>
  <si>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</si>
  <si>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</si>
  <si>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</si>
  <si>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</si>
  <si>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</si>
  <si>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</si>
  <si>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</si>
  <si>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</si>
  <si>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</si>
  <si>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</si>
  <si>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</si>
  <si>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</si>
  <si>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</si>
  <si>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</si>
  <si>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</si>
  <si>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</si>
  <si>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</si>
  <si>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</si>
  <si>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</si>
  <si>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</si>
  <si>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</si>
  <si>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</si>
  <si>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</si>
  <si>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</si>
  <si>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</si>
  <si>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</si>
  <si>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</si>
  <si>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</si>
  <si>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</si>
  <si>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</si>
  <si>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</si>
  <si>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</si>
  <si>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</si>
  <si>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</si>
  <si>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</si>
  <si>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</si>
  <si>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</si>
  <si>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</si>
  <si>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</si>
  <si>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</si>
  <si>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</si>
  <si>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</si>
  <si>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</si>
  <si>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</si>
  <si>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</si>
  <si>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</si>
  <si>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</si>
  <si>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</si>
  <si>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</si>
  <si>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</si>
  <si>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</si>
  <si>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</si>
  <si>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</si>
  <si>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</si>
  <si>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</si>
  <si>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</si>
  <si>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</si>
  <si>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</si>
  <si>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</si>
  <si>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</si>
  <si>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</si>
  <si>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</si>
  <si>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</si>
  <si>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</si>
  <si>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</si>
  <si>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</si>
  <si>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</si>
  <si>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</si>
  <si>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</si>
  <si>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</si>
  <si>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</si>
  <si>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</si>
  <si>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</si>
  <si>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</si>
  <si>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</si>
  <si>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</si>
  <si>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</si>
  <si>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</si>
  <si>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</si>
  <si>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</si>
  <si>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</si>
  <si>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</si>
  <si>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</si>
  <si>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</si>
  <si>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</si>
  <si>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</si>
  <si>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</si>
  <si>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</si>
  <si>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</si>
  <si>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</si>
  <si>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</si>
  <si>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</si>
  <si>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</si>
  <si>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</si>
  <si>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</si>
  <si>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</si>
  <si>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</si>
  <si>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</si>
  <si>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</si>
  <si>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</si>
  <si>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</si>
  <si>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</si>
  <si>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</si>
  <si>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</si>
  <si>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</si>
  <si>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</si>
  <si>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</si>
  <si>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</si>
  <si>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</si>
  <si>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</si>
  <si>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</si>
  <si>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</si>
  <si>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</si>
  <si>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</si>
  <si>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</si>
  <si>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</si>
  <si>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</si>
  <si>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</si>
  <si>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</si>
  <si>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</si>
  <si>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</si>
  <si>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</si>
  <si>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</si>
  <si>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</si>
  <si>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</si>
  <si>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</si>
  <si>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</si>
  <si>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</si>
  <si>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</si>
  <si>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</si>
  <si>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</si>
  <si>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</si>
  <si>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</si>
  <si>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</si>
  <si>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</si>
  <si>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</si>
  <si>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</si>
  <si>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</si>
  <si>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</si>
  <si>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</si>
  <si>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</si>
  <si>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</si>
  <si>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</si>
  <si>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</si>
  <si>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</si>
  <si>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</si>
  <si>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</si>
  <si>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</si>
  <si>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</si>
  <si>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</si>
  <si>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</si>
  <si>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</si>
  <si>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</si>
  <si>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</si>
  <si>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</si>
  <si>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</si>
  <si>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</si>
  <si>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</si>
  <si>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</si>
  <si>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</si>
  <si>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</si>
  <si>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</si>
  <si>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</si>
  <si>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</si>
  <si>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</si>
  <si>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</si>
  <si>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</si>
  <si>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</si>
  <si>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</si>
  <si>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</si>
  <si>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</si>
  <si>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</si>
  <si>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</si>
  <si>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</si>
  <si>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</si>
  <si>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</si>
  <si>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</si>
  <si>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</si>
  <si>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</si>
  <si>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</si>
  <si>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</si>
  <si>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</si>
  <si>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</si>
  <si>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</si>
  <si>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</si>
  <si>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</si>
  <si>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</si>
  <si>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</si>
  <si>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</si>
  <si>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</si>
  <si>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</si>
  <si>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</si>
  <si>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</si>
  <si>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</si>
  <si>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</si>
  <si>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</si>
  <si>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</si>
  <si>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</si>
  <si>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</si>
  <si>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</si>
  <si>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</si>
  <si>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</si>
  <si>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</si>
  <si>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</si>
  <si>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</si>
  <si>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</si>
  <si>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</si>
  <si>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</si>
  <si>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</si>
  <si>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</si>
  <si>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</si>
  <si>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</si>
  <si>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</si>
  <si>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</si>
  <si>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</si>
  <si>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</si>
  <si>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</si>
  <si>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</si>
  <si>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</si>
  <si>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</si>
  <si>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</si>
  <si>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</si>
  <si>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</si>
  <si>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</si>
  <si>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</si>
  <si>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</si>
  <si>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</si>
  <si>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</si>
  <si>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</si>
  <si>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</si>
  <si>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</si>
  <si>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</si>
  <si>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</si>
  <si>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</si>
  <si>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</si>
  <si>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</si>
  <si>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</si>
  <si>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</si>
  <si>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</si>
  <si>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</si>
  <si>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</si>
  <si>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</si>
  <si>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</si>
  <si>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</si>
  <si>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</si>
  <si>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</si>
  <si>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</si>
  <si>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</si>
  <si>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</si>
  <si>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</si>
  <si>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</si>
  <si>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</si>
  <si>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</si>
  <si>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</si>
  <si>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</si>
  <si>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</si>
  <si>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</si>
  <si>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</si>
  <si>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</si>
  <si>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</si>
  <si>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</si>
  <si>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</si>
  <si>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</si>
  <si>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</si>
  <si>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</si>
  <si>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</si>
  <si>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</si>
  <si>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</si>
  <si>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</si>
  <si>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</si>
  <si>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</si>
  <si>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</si>
  <si>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</si>
  <si>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</si>
  <si>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</si>
  <si>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</si>
  <si>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</si>
  <si>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</si>
  <si>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</si>
  <si>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</si>
  <si>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</si>
  <si>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</si>
  <si>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</si>
  <si>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</si>
  <si>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</si>
  <si>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</si>
  <si>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</si>
  <si>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</si>
  <si>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</si>
  <si>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</si>
  <si>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</si>
  <si>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</si>
  <si>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</si>
  <si>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</si>
  <si>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</si>
  <si>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</si>
  <si>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</si>
  <si>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</si>
  <si>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</si>
  <si>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</si>
  <si>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</si>
  <si>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</si>
  <si>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</si>
  <si>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</si>
  <si>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</si>
  <si>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</si>
  <si>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</si>
  <si>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</si>
  <si>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</si>
  <si>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</si>
  <si>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</si>
  <si>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</si>
  <si>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</si>
  <si>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</si>
  <si>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</si>
  <si>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</si>
  <si>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</si>
  <si>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</si>
  <si>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</si>
  <si>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</si>
  <si>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</si>
  <si>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</si>
  <si>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</si>
  <si>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</si>
  <si>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</si>
  <si>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</si>
  <si>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</si>
  <si>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</si>
  <si>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</si>
  <si>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</si>
  <si>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</si>
  <si>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</si>
  <si>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</si>
  <si>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</si>
  <si>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</si>
  <si>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</si>
  <si>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</si>
  <si>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</si>
  <si>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</si>
  <si>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</si>
  <si>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</si>
  <si>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</si>
  <si>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</si>
  <si>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</si>
  <si>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</si>
  <si>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</si>
  <si>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</si>
  <si>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</si>
  <si>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</si>
  <si>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</si>
  <si>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</si>
  <si>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</si>
  <si>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</si>
  <si>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</si>
  <si>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</si>
  <si>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</si>
  <si>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</si>
  <si>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</si>
  <si>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</si>
  <si>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</si>
  <si>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</si>
  <si>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</si>
  <si>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</si>
  <si>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</si>
  <si>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</si>
  <si>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</si>
  <si>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</si>
  <si>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</si>
  <si>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</si>
  <si>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</si>
  <si>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</si>
  <si>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</si>
  <si>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</si>
  <si>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</si>
  <si>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</si>
  <si>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</si>
  <si>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</si>
  <si>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</si>
  <si>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</si>
  <si>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</si>
  <si>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</si>
  <si>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</si>
  <si>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</si>
  <si>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</si>
  <si>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</si>
  <si>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</si>
  <si>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</si>
  <si>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</si>
  <si>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</si>
  <si>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</si>
  <si>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</si>
  <si>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</si>
  <si>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</si>
  <si>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</si>
  <si>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</si>
  <si>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</si>
  <si>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</si>
  <si>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</si>
  <si>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</si>
  <si>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</si>
  <si>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</si>
  <si>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</si>
  <si>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</si>
  <si>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</si>
  <si>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</si>
  <si>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</si>
  <si>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</si>
  <si>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</si>
  <si>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</si>
  <si>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</si>
  <si>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</si>
  <si>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</si>
  <si>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</si>
  <si>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</si>
  <si>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</si>
  <si>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</si>
  <si>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</si>
  <si>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</si>
  <si>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</si>
  <si>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</si>
  <si>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</si>
  <si>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</si>
  <si>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</si>
  <si>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</si>
  <si>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</si>
  <si>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</si>
  <si>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</si>
  <si>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</si>
  <si>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</si>
  <si>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</si>
  <si>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</si>
  <si>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</si>
  <si>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</si>
  <si>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</si>
  <si>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</si>
  <si>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</si>
  <si>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</si>
  <si>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</si>
  <si>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</si>
  <si>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</si>
  <si>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</si>
  <si>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</si>
  <si>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</si>
  <si>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</si>
  <si>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</si>
  <si>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</si>
  <si>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</si>
  <si>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</si>
  <si>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</si>
  <si>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</si>
  <si>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</si>
  <si>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</si>
  <si>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</si>
  <si>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</si>
  <si>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</si>
  <si>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</si>
  <si>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</si>
  <si>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</si>
  <si>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</si>
  <si>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</si>
  <si>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</si>
  <si>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</si>
  <si>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</si>
  <si>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</si>
  <si>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</si>
  <si>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</si>
  <si>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</si>
  <si>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</si>
  <si>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</si>
  <si>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</si>
  <si>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</si>
  <si>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</si>
  <si>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</si>
  <si>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</si>
  <si>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</si>
  <si>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</si>
  <si>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</si>
  <si>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</si>
  <si>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</si>
  <si>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</si>
  <si>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</si>
  <si>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</si>
  <si>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</si>
  <si>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</si>
  <si>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</si>
  <si>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</si>
  <si>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</si>
  <si>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</si>
  <si>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</si>
  <si>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</si>
  <si>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</si>
  <si>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</si>
  <si>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</si>
  <si>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</si>
  <si>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</si>
  <si>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</si>
  <si>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</si>
  <si>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</si>
  <si>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</si>
  <si>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</si>
  <si>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</si>
  <si>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</si>
  <si>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</si>
  <si>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</si>
  <si>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</si>
  <si>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</si>
  <si>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</si>
  <si>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</si>
  <si>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</si>
  <si>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</si>
  <si>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</si>
  <si>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</si>
  <si>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</si>
  <si>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</si>
  <si>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</si>
  <si>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</si>
  <si>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</si>
  <si>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</si>
  <si>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</si>
  <si>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</si>
  <si>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</si>
  <si>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</si>
  <si>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</si>
  <si>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</si>
  <si>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</si>
  <si>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</si>
  <si>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</si>
  <si>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</si>
  <si>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</si>
  <si>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</si>
  <si>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</si>
  <si>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</si>
  <si>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</si>
  <si>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</si>
  <si>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</si>
  <si>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</si>
  <si>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</si>
  <si>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</si>
  <si>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</si>
  <si>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</si>
  <si>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</si>
  <si>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</si>
  <si>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</si>
  <si>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</si>
  <si>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</si>
  <si>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</si>
  <si>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</si>
  <si>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</si>
  <si>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</si>
  <si>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</si>
  <si>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</si>
  <si>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</si>
  <si>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</si>
  <si>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</si>
  <si>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</si>
  <si>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</si>
  <si>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</si>
  <si>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</si>
  <si>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</si>
  <si>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</si>
  <si>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</si>
  <si>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</si>
  <si>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</si>
  <si>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</si>
  <si>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</si>
  <si>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</si>
  <si>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</si>
  <si>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</si>
  <si>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</si>
  <si>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</si>
  <si>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</si>
  <si>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</si>
  <si>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</si>
  <si>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</si>
  <si>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</si>
  <si>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</si>
  <si>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</si>
  <si>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</si>
  <si>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</si>
  <si>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</si>
  <si>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</si>
  <si>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</si>
  <si>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</si>
  <si>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</si>
  <si>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</si>
  <si>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</si>
  <si>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</si>
  <si>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</si>
  <si>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</si>
  <si>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</si>
  <si>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</si>
  <si>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</si>
  <si>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</si>
  <si>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</si>
  <si>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</si>
  <si>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</si>
  <si>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</si>
  <si>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</si>
  <si>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</si>
  <si>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</si>
  <si>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</si>
  <si>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</si>
  <si>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</si>
  <si>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</si>
  <si>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</si>
  <si>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</si>
  <si>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</si>
  <si>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</si>
  <si>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</si>
  <si>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</si>
  <si>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</si>
  <si>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</si>
  <si>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</si>
  <si>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</si>
  <si>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</si>
  <si>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</si>
  <si>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</si>
  <si>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</si>
  <si>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</si>
  <si>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</si>
  <si>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</si>
  <si>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</si>
  <si>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</si>
  <si>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</si>
  <si>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</si>
  <si>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</si>
  <si>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</si>
  <si>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</si>
  <si>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</si>
  <si>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</si>
  <si>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</si>
  <si>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</si>
  <si>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</si>
  <si>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</si>
  <si>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</si>
  <si>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</si>
  <si>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</si>
  <si>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</si>
  <si>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</si>
  <si>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</si>
  <si>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</si>
  <si>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</si>
  <si>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</si>
  <si>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</si>
  <si>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</si>
  <si>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</si>
  <si>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</si>
  <si>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</si>
  <si>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</si>
  <si>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</si>
  <si>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</si>
  <si>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</si>
  <si>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</si>
  <si>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</si>
  <si>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</si>
  <si>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</si>
  <si>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</si>
  <si>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</si>
  <si>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</si>
  <si>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</si>
  <si>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</si>
  <si>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</si>
  <si>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</si>
  <si>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</si>
  <si>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</si>
  <si>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</si>
  <si>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</si>
  <si>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</si>
  <si>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</si>
  <si>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</si>
  <si>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</si>
  <si>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</si>
  <si>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</si>
  <si>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</si>
  <si>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</si>
  <si>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</si>
  <si>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</si>
  <si>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</si>
  <si>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</si>
  <si>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</si>
  <si>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</si>
  <si>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</si>
  <si>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</si>
  <si>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</si>
  <si>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</si>
  <si>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</si>
  <si>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</si>
  <si>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</si>
  <si>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</si>
  <si>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</si>
  <si>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</si>
  <si>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</si>
  <si>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</si>
  <si>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</si>
  <si>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</si>
  <si>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</si>
  <si>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</si>
  <si>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</si>
  <si>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</si>
  <si>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</si>
  <si>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</si>
  <si>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</si>
  <si>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</si>
  <si>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</si>
  <si>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</si>
  <si>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</si>
  <si>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</si>
  <si>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</si>
  <si>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</si>
  <si>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</si>
  <si>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</si>
  <si>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</si>
  <si>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</si>
  <si>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</si>
  <si>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</si>
  <si>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</si>
  <si>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</si>
  <si>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</si>
  <si>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</si>
  <si>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</si>
  <si>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</si>
  <si>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</si>
  <si>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</si>
  <si>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</si>
  <si>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</si>
  <si>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</si>
  <si>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</si>
  <si>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</si>
  <si>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</si>
  <si>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</si>
  <si>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</si>
  <si>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</si>
  <si>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</si>
  <si>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</si>
  <si>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</si>
  <si>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</si>
  <si>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</si>
  <si>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</si>
  <si>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</si>
  <si>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</si>
  <si>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</si>
  <si>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</si>
  <si>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</si>
  <si>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</si>
  <si>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</si>
  <si>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</si>
  <si>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</si>
  <si>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</si>
  <si>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</si>
  <si>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</si>
  <si>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</si>
  <si>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</si>
  <si>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</si>
  <si>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</si>
  <si>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</si>
  <si>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</si>
  <si>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</si>
  <si>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</si>
  <si>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</si>
  <si>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</si>
  <si>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</si>
  <si>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</si>
  <si>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</si>
  <si>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</si>
  <si>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</si>
  <si>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</si>
  <si>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</si>
  <si>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</si>
  <si>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</si>
  <si>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</si>
  <si>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</si>
  <si>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</si>
  <si>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</si>
  <si>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</si>
  <si>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</si>
  <si>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</si>
  <si>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</si>
  <si>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</si>
  <si>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</si>
  <si>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</si>
  <si>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</si>
  <si>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</si>
  <si>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</si>
  <si>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</si>
  <si>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</si>
  <si>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</si>
  <si>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</si>
  <si>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</si>
  <si>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</si>
  <si>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</si>
  <si>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</si>
  <si>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</si>
  <si>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</si>
  <si>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</si>
  <si>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</si>
  <si>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</si>
  <si>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</si>
  <si>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</si>
  <si>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</si>
  <si>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</si>
  <si>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</si>
  <si>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</si>
  <si>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</si>
  <si>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</si>
  <si>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</si>
  <si>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</si>
  <si>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</si>
  <si>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</si>
  <si>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</si>
  <si>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</si>
  <si>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</si>
  <si>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</si>
  <si>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</si>
  <si>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</si>
  <si>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</si>
  <si>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</si>
  <si>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</si>
  <si>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</si>
  <si>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</si>
  <si>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</si>
  <si>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</si>
  <si>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</si>
  <si>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</si>
  <si>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</si>
  <si>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</si>
  <si>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</si>
  <si>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</si>
  <si>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</si>
  <si>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</si>
  <si>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</si>
  <si>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</si>
  <si>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</si>
  <si>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</si>
  <si>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</si>
  <si>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</si>
  <si>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</si>
  <si>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</si>
  <si>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</si>
  <si>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</si>
  <si>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</si>
  <si>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</si>
  <si>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</si>
  <si>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</si>
  <si>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</si>
  <si>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</si>
  <si>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</si>
  <si>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</si>
  <si>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</si>
  <si>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</si>
  <si>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</si>
  <si>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</si>
  <si>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</si>
  <si>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</si>
  <si>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</si>
  <si>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</si>
  <si>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</si>
  <si>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</si>
  <si>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</si>
  <si>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</si>
  <si>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</si>
  <si>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</si>
  <si>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</si>
  <si>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</si>
  <si>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</si>
  <si>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</si>
  <si>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</si>
  <si>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</si>
  <si>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</si>
  <si>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</si>
  <si>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</si>
  <si>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</si>
  <si>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</si>
  <si>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</si>
  <si>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</si>
  <si>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</si>
  <si>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</si>
  <si>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</si>
  <si>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</si>
  <si>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</si>
  <si>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</si>
  <si>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</si>
  <si>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</si>
  <si>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</si>
  <si>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</si>
  <si>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</si>
  <si>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</si>
  <si>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</si>
  <si>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</si>
  <si>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</si>
  <si>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</si>
  <si>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</si>
  <si>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</si>
  <si>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</si>
  <si>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</si>
  <si>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</si>
  <si>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</si>
  <si>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</si>
  <si>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</si>
  <si>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</si>
  <si>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</si>
  <si>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</si>
  <si>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</si>
  <si>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</si>
  <si>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</si>
  <si>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</si>
  <si>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</si>
  <si>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</si>
  <si>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</si>
  <si>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</si>
  <si>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</si>
  <si>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</si>
  <si>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</si>
  <si>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</si>
  <si>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</si>
  <si>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</si>
  <si>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</si>
  <si>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</si>
  <si>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</si>
  <si>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</si>
  <si>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</si>
  <si>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</si>
  <si>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</si>
  <si>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</si>
  <si>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</si>
  <si>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</si>
  <si>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</si>
  <si>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</si>
  <si>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</si>
  <si>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</si>
  <si>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</si>
  <si>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</si>
  <si>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</si>
  <si>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</si>
  <si>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</si>
  <si>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</si>
  <si>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</si>
  <si>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</si>
  <si>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</si>
  <si>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</si>
  <si>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</si>
  <si>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</si>
  <si>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</si>
  <si>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</si>
  <si>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</si>
  <si>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</si>
  <si>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</si>
  <si>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</si>
  <si>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</si>
  <si>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</si>
  <si>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</si>
  <si>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</si>
  <si>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</si>
  <si>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</si>
  <si>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</si>
  <si>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</si>
  <si>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</si>
  <si>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</si>
  <si>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</si>
  <si>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</si>
  <si>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</si>
  <si>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</si>
  <si>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</si>
  <si>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</si>
  <si>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</si>
  <si>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</si>
  <si>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</si>
  <si>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</si>
  <si>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</si>
  <si>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</si>
  <si>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</si>
  <si>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</si>
  <si>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</si>
  <si>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</si>
  <si>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</si>
  <si>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</si>
  <si>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</si>
  <si>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</si>
  <si>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</si>
  <si>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</si>
  <si>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</si>
  <si>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</si>
  <si>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</si>
  <si>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</si>
  <si>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</si>
  <si>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</si>
  <si>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</si>
  <si>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</si>
  <si>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</si>
  <si>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</si>
  <si>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</si>
  <si>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</si>
  <si>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</si>
  <si>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</si>
  <si>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</si>
  <si>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</si>
  <si>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</si>
  <si>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</si>
  <si>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</si>
  <si>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</si>
  <si>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</si>
  <si>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</si>
  <si>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</si>
  <si>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</si>
  <si>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</si>
  <si>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</si>
  <si>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</si>
  <si>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</si>
  <si>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</si>
  <si>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</si>
  <si>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</si>
  <si>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</si>
  <si>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</si>
  <si>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</si>
  <si>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</si>
  <si>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</si>
  <si>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</si>
  <si>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</si>
  <si>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</si>
  <si>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</si>
  <si>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</si>
  <si>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</si>
  <si>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</si>
  <si>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</si>
  <si>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</si>
  <si>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</si>
  <si>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</si>
  <si>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</si>
  <si>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</si>
  <si>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</si>
  <si>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</si>
  <si>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</si>
  <si>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</si>
  <si>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</si>
  <si>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</si>
  <si>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</si>
  <si>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</si>
  <si>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</si>
  <si>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</si>
  <si>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</si>
  <si>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</si>
  <si>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</si>
  <si>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</si>
  <si>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</si>
  <si>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</si>
  <si>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</si>
  <si>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</si>
  <si>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</si>
  <si>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</si>
  <si>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</si>
  <si>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</si>
  <si>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</si>
  <si>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</si>
  <si>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</si>
  <si>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</si>
  <si>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</si>
  <si>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</si>
  <si>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</si>
  <si>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</si>
  <si>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</si>
  <si>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</si>
  <si>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</si>
  <si>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</si>
  <si>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</si>
  <si>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</si>
  <si>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</si>
  <si>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</si>
  <si>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</si>
  <si>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</si>
  <si>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</si>
  <si>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</si>
  <si>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</si>
  <si>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</si>
  <si>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</si>
  <si>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</si>
  <si>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</si>
  <si>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</si>
  <si>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</si>
  <si>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</si>
  <si>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</si>
  <si>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</si>
  <si>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</si>
  <si>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</si>
  <si>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</si>
  <si>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</si>
  <si>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</si>
  <si>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</si>
  <si>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</si>
  <si>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</si>
  <si>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</si>
  <si>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</si>
  <si>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</si>
  <si>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</si>
  <si>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</si>
  <si>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</si>
  <si>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</si>
  <si>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</si>
  <si>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</si>
  <si>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</si>
  <si>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</si>
  <si>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</si>
  <si>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</si>
  <si>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</si>
  <si>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</si>
  <si>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</si>
  <si>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</si>
  <si>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</si>
  <si>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</si>
  <si>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</si>
  <si>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</si>
  <si>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</si>
  <si>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</si>
  <si>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</si>
  <si>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</si>
  <si>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</si>
  <si>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</si>
  <si>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</si>
  <si>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</si>
  <si>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</si>
  <si>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</si>
  <si>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</si>
  <si>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</si>
  <si>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</si>
  <si>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</si>
  <si>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</si>
  <si>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</si>
  <si>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</si>
  <si>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</si>
  <si>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</si>
  <si>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</si>
  <si>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</si>
  <si>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</si>
  <si>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</si>
  <si>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</si>
  <si>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</si>
  <si>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</si>
  <si>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</si>
  <si>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</si>
  <si>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</si>
  <si>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</si>
  <si>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</si>
  <si>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</si>
  <si>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</si>
  <si>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</si>
  <si>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</si>
  <si>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</si>
  <si>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</si>
  <si>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</si>
  <si>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</si>
  <si>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</si>
  <si>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</si>
  <si>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</si>
  <si>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</si>
  <si>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</si>
  <si>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</si>
  <si>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</si>
  <si>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</si>
  <si>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</si>
  <si>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</si>
  <si>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</si>
  <si>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</si>
  <si>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</si>
  <si>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</si>
  <si>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</si>
  <si>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</si>
  <si>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</si>
  <si>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</si>
  <si>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</si>
  <si>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</si>
  <si>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</si>
  <si>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</si>
  <si>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</si>
  <si>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</si>
  <si>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</si>
  <si>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</si>
  <si>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</si>
  <si>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</si>
  <si>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</si>
  <si>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</si>
  <si>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</si>
  <si>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</si>
  <si>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</si>
  <si>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</si>
  <si>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</si>
  <si>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</si>
  <si>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</si>
  <si>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</si>
  <si>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</si>
  <si>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</si>
  <si>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</si>
  <si>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</si>
  <si>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</si>
  <si>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</si>
  <si>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</si>
  <si>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</si>
  <si>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</si>
  <si>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</si>
  <si>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</si>
  <si>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</si>
  <si>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</si>
  <si>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</si>
  <si>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</si>
  <si>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</si>
  <si>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</si>
  <si>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</si>
  <si>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</si>
  <si>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</si>
  <si>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</si>
  <si>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</si>
  <si>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</si>
  <si>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</si>
  <si>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</si>
  <si>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</si>
  <si>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</si>
  <si>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</si>
  <si>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</si>
  <si>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</si>
  <si>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</si>
  <si>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</si>
  <si>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</si>
  <si>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</si>
  <si>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</si>
  <si>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</si>
  <si>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</si>
  <si>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</si>
  <si>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</si>
  <si>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</si>
  <si>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</si>
  <si>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</si>
  <si>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</si>
  <si>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</si>
  <si>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</si>
  <si>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</si>
  <si>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</si>
  <si>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</si>
  <si>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</si>
  <si>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</si>
  <si>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</si>
  <si>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</si>
  <si>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</si>
  <si>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</si>
  <si>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</si>
  <si>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</si>
  <si>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</si>
  <si>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</si>
  <si>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</si>
  <si>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</si>
  <si>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</si>
  <si>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</si>
  <si>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</si>
  <si>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</si>
  <si>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</si>
  <si>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</si>
  <si>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</si>
  <si>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</si>
  <si>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</si>
  <si>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</si>
  <si>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</si>
  <si>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</si>
  <si>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</si>
  <si>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</si>
  <si>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</si>
  <si>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</si>
  <si>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</si>
  <si>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</si>
  <si>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</si>
  <si>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</si>
  <si>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</si>
  <si>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</si>
  <si>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</si>
  <si>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</si>
  <si>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</si>
  <si>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</si>
  <si>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</si>
  <si>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</si>
  <si>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</si>
  <si>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</si>
  <si>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</si>
  <si>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</si>
  <si>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</si>
  <si>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</si>
  <si>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</si>
  <si>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</si>
  <si>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</si>
  <si>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</si>
  <si>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</si>
  <si>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</si>
  <si>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</si>
  <si>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</si>
  <si>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</si>
  <si>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</si>
  <si>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</si>
  <si>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</si>
  <si>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</si>
  <si>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</si>
  <si>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</si>
  <si>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</si>
  <si>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</si>
  <si>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</si>
  <si>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</si>
  <si>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</si>
  <si>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</si>
  <si>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</si>
  <si>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</si>
  <si>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</si>
  <si>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</si>
  <si>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</si>
  <si>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</si>
  <si>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</si>
  <si>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</si>
  <si>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</si>
  <si>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</si>
  <si>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</si>
  <si>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</si>
  <si>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</si>
  <si>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</si>
  <si>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</si>
  <si>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</si>
  <si>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</si>
  <si>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</si>
  <si>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</si>
  <si>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</si>
  <si>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</si>
  <si>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</si>
  <si>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</si>
  <si>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</si>
  <si>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</si>
  <si>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</si>
  <si>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</si>
  <si>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</si>
  <si>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</si>
  <si>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</si>
  <si>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</si>
  <si>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</si>
  <si>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</si>
  <si>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</si>
  <si>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</si>
  <si>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</si>
  <si>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</si>
  <si>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</si>
  <si>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</si>
  <si>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</si>
  <si>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</si>
  <si>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</si>
  <si>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</si>
  <si>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</si>
  <si>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</si>
  <si>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</si>
  <si>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</si>
  <si>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</si>
  <si>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</si>
  <si>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</si>
  <si>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</si>
  <si>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</si>
  <si>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</si>
  <si>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</si>
  <si>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</si>
  <si>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</si>
  <si>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</si>
  <si>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</si>
  <si>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</si>
  <si>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</si>
  <si>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</si>
  <si>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</si>
  <si>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</si>
  <si>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</si>
  <si>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</si>
  <si>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</si>
  <si>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</si>
  <si>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</si>
  <si>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</si>
  <si>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</si>
  <si>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</si>
  <si>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</si>
  <si>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</si>
  <si>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</si>
  <si>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</si>
  <si>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</si>
  <si>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</si>
  <si>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</si>
  <si>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</si>
  <si>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</si>
  <si>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</si>
  <si>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</si>
  <si>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</si>
  <si>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</si>
  <si>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</si>
  <si>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</si>
  <si>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</si>
  <si>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</si>
  <si>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</si>
  <si>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</si>
  <si>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</si>
  <si>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</si>
  <si>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</si>
  <si>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</si>
  <si>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</si>
  <si>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</si>
  <si>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</si>
  <si>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</si>
  <si>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</si>
  <si>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</si>
  <si>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</si>
  <si>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</si>
  <si>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</si>
  <si>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</si>
  <si>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</si>
  <si>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</si>
  <si>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</si>
  <si>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</si>
  <si>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</si>
  <si>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</si>
  <si>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</si>
  <si>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</si>
  <si>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</si>
  <si>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</si>
  <si>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</si>
  <si>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</si>
  <si>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</si>
  <si>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</si>
  <si>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</si>
  <si>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</si>
  <si>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</si>
  <si>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</si>
  <si>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</si>
  <si>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</si>
  <si>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</si>
  <si>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</si>
  <si>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</si>
  <si>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</si>
  <si>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</si>
  <si>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</si>
  <si>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</si>
  <si>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</si>
  <si>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</si>
  <si>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</si>
  <si>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</si>
  <si>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</si>
  <si>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</si>
  <si>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</si>
  <si>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</si>
  <si>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</si>
  <si>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</si>
  <si>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</si>
  <si>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</si>
  <si>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</si>
  <si>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</si>
  <si>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</si>
  <si>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</si>
  <si>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</si>
  <si>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</si>
  <si>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</si>
  <si>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</si>
  <si>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</si>
  <si>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</si>
  <si>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</si>
  <si>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</si>
  <si>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</si>
  <si>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</si>
  <si>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</si>
  <si>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</si>
  <si>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</si>
  <si>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</si>
  <si>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</si>
  <si>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</si>
  <si>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</si>
  <si>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</si>
  <si>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</si>
  <si>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</si>
  <si>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</si>
  <si>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</si>
  <si>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</si>
  <si>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</si>
  <si>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</si>
  <si>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</si>
  <si>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</si>
  <si>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</si>
  <si>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</si>
  <si>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</si>
  <si>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</si>
  <si>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</si>
  <si>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</si>
  <si>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</si>
  <si>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</si>
  <si>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</si>
  <si>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</si>
  <si>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</si>
  <si>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</si>
  <si>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</si>
  <si>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</si>
  <si>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</si>
  <si>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</si>
  <si>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</si>
  <si>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</si>
  <si>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</si>
  <si>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</si>
  <si>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</si>
  <si>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</si>
  <si>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</si>
  <si>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</si>
  <si>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</si>
  <si>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</si>
  <si>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</si>
  <si>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</si>
  <si>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</si>
  <si>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</si>
  <si>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</si>
  <si>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</si>
  <si>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</si>
  <si>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</si>
  <si>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</si>
  <si>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</si>
  <si>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</si>
  <si>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</si>
  <si>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</si>
  <si>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</si>
  <si>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</si>
  <si>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</si>
  <si>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</si>
  <si>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</si>
  <si>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</si>
  <si>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</si>
  <si>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</si>
  <si>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</si>
  <si>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</si>
  <si>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</si>
  <si>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</si>
  <si>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</si>
  <si>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</si>
  <si>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</si>
  <si>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</si>
  <si>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</si>
  <si>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</si>
  <si>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</si>
  <si>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</si>
  <si>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</si>
  <si>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</si>
  <si>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</si>
  <si>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</si>
  <si>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</si>
  <si>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</si>
  <si>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</si>
  <si>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</si>
  <si>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</si>
  <si>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</si>
  <si>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</si>
  <si>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</si>
  <si>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</si>
  <si>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</si>
  <si>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</si>
  <si>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</si>
  <si>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</si>
  <si>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</si>
  <si>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</si>
  <si>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</si>
  <si>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</si>
  <si>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</si>
  <si>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</si>
  <si>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</si>
  <si>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</si>
  <si>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</si>
  <si>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</si>
  <si>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</si>
  <si>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</si>
  <si>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</si>
  <si>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</si>
  <si>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</si>
  <si>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</si>
  <si>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</si>
  <si>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</si>
  <si>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</si>
  <si>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</si>
  <si>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</si>
  <si>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</si>
  <si>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</si>
  <si>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</si>
  <si>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</si>
  <si>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</si>
  <si>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</si>
  <si>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</si>
  <si>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</si>
  <si>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</si>
  <si>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</si>
  <si>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</si>
  <si>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</si>
  <si>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</si>
  <si>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</si>
  <si>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</si>
  <si>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</si>
  <si>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</si>
  <si>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</si>
  <si>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</si>
  <si>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</si>
  <si>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</si>
  <si>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</si>
  <si>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</si>
  <si>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</si>
  <si>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</si>
  <si>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</si>
  <si>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</si>
  <si>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</si>
  <si>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</si>
  <si>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</si>
  <si>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</si>
  <si>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</si>
  <si>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</si>
  <si>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</si>
  <si>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</si>
  <si>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</si>
  <si>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</si>
  <si>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</si>
  <si>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</si>
  <si>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</si>
  <si>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</si>
  <si>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</si>
  <si>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</si>
  <si>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</si>
  <si>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</si>
  <si>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</si>
  <si>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</si>
  <si>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</si>
  <si>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</si>
  <si>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</si>
  <si>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</si>
  <si>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</si>
  <si>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</si>
  <si>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</si>
  <si>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</si>
  <si>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</si>
  <si>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</si>
  <si>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</si>
  <si>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</si>
  <si>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</si>
  <si>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</si>
  <si>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</si>
  <si>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</si>
  <si>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</si>
  <si>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</si>
  <si>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</si>
  <si>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</si>
  <si>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</si>
  <si>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</si>
  <si>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</si>
  <si>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</si>
  <si>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</si>
  <si>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</si>
  <si>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</si>
  <si>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</si>
  <si>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</si>
  <si>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</si>
  <si>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</si>
  <si>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</si>
  <si>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</si>
  <si>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</si>
  <si>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</si>
  <si>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</si>
  <si>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</si>
  <si>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</si>
  <si>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</si>
  <si>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</si>
  <si>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</si>
  <si>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</si>
  <si>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</si>
  <si>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</si>
  <si>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</si>
  <si>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</si>
  <si>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</si>
  <si>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</si>
  <si>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</si>
  <si>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</si>
  <si>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</si>
  <si>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</si>
  <si>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</si>
  <si>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</si>
  <si>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</si>
  <si>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</si>
  <si>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</si>
  <si>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</si>
  <si>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</si>
  <si>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</si>
  <si>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</si>
  <si>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</si>
  <si>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</si>
  <si>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</si>
  <si>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</si>
  <si>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</si>
  <si>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</si>
  <si>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</si>
  <si>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</si>
  <si>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</si>
  <si>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</si>
  <si>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</si>
  <si>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</si>
  <si>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</si>
  <si>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</si>
  <si>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</si>
  <si>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</si>
  <si>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</si>
  <si>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</si>
  <si>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</si>
  <si>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</si>
  <si>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</si>
  <si>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</si>
  <si>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</si>
  <si>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</si>
  <si>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</si>
  <si>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</si>
  <si>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</si>
  <si>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</si>
  <si>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</si>
  <si>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</si>
  <si>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</si>
  <si>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</si>
  <si>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</si>
  <si>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</si>
  <si>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</si>
  <si>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</si>
  <si>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</si>
  <si>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</si>
  <si>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</si>
  <si>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</si>
  <si>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</si>
  <si>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</si>
  <si>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</si>
  <si>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</si>
  <si>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</si>
  <si>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</si>
  <si>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</si>
  <si>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</si>
  <si>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</si>
  <si>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</si>
  <si>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</si>
  <si>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</si>
  <si>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</si>
  <si>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</si>
  <si>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</si>
  <si>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</si>
  <si>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</si>
  <si>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</si>
  <si>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</si>
  <si>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</si>
  <si>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</si>
  <si>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</si>
  <si>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</si>
  <si>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</si>
  <si>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</si>
  <si>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</si>
  <si>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</si>
  <si>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</si>
  <si>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</si>
  <si>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</si>
  <si>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</si>
  <si>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</si>
  <si>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</si>
  <si>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</si>
  <si>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</si>
  <si>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</si>
  <si>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</si>
  <si>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</si>
  <si>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</si>
  <si>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</si>
  <si>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</si>
  <si>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</si>
  <si>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</si>
  <si>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</si>
  <si>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</si>
  <si>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</si>
  <si>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</si>
  <si>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</si>
  <si>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</si>
  <si>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</si>
  <si>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</si>
  <si>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</si>
  <si>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</si>
  <si>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</si>
  <si>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</si>
  <si>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</si>
  <si>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</si>
  <si>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</si>
  <si>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</si>
  <si>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</si>
  <si>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</si>
  <si>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</si>
  <si>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</si>
  <si>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</si>
  <si>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</si>
  <si>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</si>
  <si>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</si>
  <si>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</si>
  <si>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</si>
  <si>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</si>
  <si>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</si>
  <si>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</si>
  <si>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</si>
  <si>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</si>
  <si>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</si>
  <si>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</si>
  <si>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</si>
  <si>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</si>
  <si>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</si>
  <si>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</si>
  <si>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</si>
  <si>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</si>
  <si>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</si>
  <si>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</si>
  <si>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</si>
  <si>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</si>
  <si>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</si>
  <si>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</si>
  <si>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</si>
  <si>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</si>
  <si>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</si>
  <si>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</si>
  <si>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</si>
  <si>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</si>
  <si>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</si>
  <si>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</si>
  <si>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</si>
  <si>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</si>
  <si>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</si>
  <si>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</si>
  <si>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</si>
  <si>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</si>
  <si>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</si>
  <si>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</si>
  <si>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</si>
  <si>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</si>
  <si>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</si>
  <si>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</si>
  <si>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</si>
  <si>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</si>
  <si>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</si>
  <si>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</si>
  <si>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</si>
  <si>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</si>
  <si>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</si>
  <si>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</si>
  <si>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</si>
  <si>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</si>
  <si>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</si>
  <si>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</si>
  <si>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</si>
  <si>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</si>
  <si>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</si>
  <si>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</si>
  <si>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</si>
  <si>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</si>
  <si>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</si>
  <si>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</si>
  <si>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</si>
  <si>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</si>
  <si>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</si>
  <si>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</si>
  <si>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</si>
  <si>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</si>
  <si>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</si>
  <si>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</si>
  <si>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</si>
  <si>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</si>
  <si>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</si>
  <si>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</si>
  <si>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</si>
  <si>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</si>
  <si>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</si>
  <si>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</si>
  <si>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</si>
  <si>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</si>
  <si>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</si>
  <si>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</si>
  <si>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</si>
  <si>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</si>
  <si>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</si>
  <si>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</si>
  <si>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</si>
  <si>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</si>
  <si>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</si>
  <si>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</si>
  <si>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</si>
  <si>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</si>
  <si>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</si>
  <si>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</si>
  <si>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</si>
  <si>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</si>
  <si>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</si>
  <si>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</si>
  <si>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</si>
  <si>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</si>
  <si>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</si>
  <si>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</si>
  <si>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</si>
  <si>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</si>
  <si>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</si>
  <si>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</si>
  <si>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</si>
  <si>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</si>
  <si>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</si>
  <si>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</si>
  <si>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</si>
  <si>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</si>
  <si>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</si>
  <si>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</si>
  <si>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</si>
  <si>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</si>
  <si>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</si>
  <si>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</si>
  <si>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</si>
  <si>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</si>
  <si>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</si>
  <si>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</si>
  <si>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</si>
  <si>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</si>
  <si>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</si>
  <si>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</si>
  <si>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</si>
  <si>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</si>
  <si>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</si>
  <si>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</si>
  <si>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</si>
  <si>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</si>
  <si>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</si>
  <si>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</si>
  <si>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</si>
  <si>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</si>
  <si>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</si>
  <si>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</si>
  <si>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</si>
  <si>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</si>
  <si>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</si>
  <si>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</si>
  <si>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</si>
  <si>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</si>
  <si>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</si>
  <si>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</si>
  <si>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</si>
  <si>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</si>
  <si>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</si>
  <si>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</si>
  <si>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</si>
  <si>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</si>
  <si>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</si>
  <si>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</si>
  <si>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</si>
  <si>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</si>
  <si>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</si>
  <si>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</si>
  <si>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</si>
  <si>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</si>
  <si>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</si>
  <si>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</si>
  <si>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</si>
  <si>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</si>
  <si>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</si>
  <si>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</si>
  <si>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</si>
  <si>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</si>
  <si>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</si>
  <si>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</si>
  <si>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</si>
  <si>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</si>
  <si>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</si>
  <si>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</si>
  <si>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</si>
  <si>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</si>
  <si>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</si>
  <si>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</si>
  <si>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</si>
  <si>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</si>
  <si>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</si>
  <si>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</si>
  <si>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</si>
  <si>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</si>
  <si>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</si>
  <si>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</si>
  <si>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</si>
  <si>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</si>
  <si>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</si>
  <si>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</si>
  <si>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</si>
  <si>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</si>
  <si>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</si>
  <si>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</si>
  <si>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</si>
  <si>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</si>
  <si>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</si>
  <si>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</si>
  <si>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</si>
  <si>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</si>
  <si>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</si>
  <si>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</si>
  <si>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</si>
  <si>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</si>
  <si>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</si>
  <si>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</si>
  <si>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</si>
  <si>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</si>
  <si>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</si>
  <si>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</si>
  <si>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</si>
  <si>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</si>
  <si>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</si>
  <si>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</si>
  <si>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</si>
  <si>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</si>
  <si>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</si>
  <si>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</si>
  <si>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</si>
  <si>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</si>
  <si>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</si>
  <si>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</si>
  <si>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</si>
  <si>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</si>
  <si>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</si>
  <si>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</si>
  <si>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</si>
  <si>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</si>
  <si>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</si>
  <si>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</si>
  <si>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</si>
  <si>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</si>
  <si>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</si>
  <si>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</si>
  <si>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</si>
  <si>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</si>
  <si>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</si>
  <si>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</si>
  <si>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</si>
  <si>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</si>
  <si>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</si>
  <si>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</si>
  <si>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</si>
  <si>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</si>
  <si>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</si>
  <si>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</si>
  <si>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</si>
  <si>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</si>
  <si>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</si>
  <si>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</si>
  <si>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</si>
  <si>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</si>
  <si>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</si>
  <si>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</si>
  <si>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</si>
  <si>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</si>
  <si>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</si>
  <si>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</si>
  <si>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</si>
  <si>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</si>
  <si>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</si>
  <si>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</si>
  <si>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</si>
  <si>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</si>
  <si>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</si>
  <si>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</si>
  <si>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</si>
  <si>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</si>
  <si>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</si>
  <si>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</si>
  <si>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</si>
  <si>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</si>
  <si>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</si>
  <si>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</si>
  <si>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</si>
  <si>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</si>
  <si>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</si>
  <si>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</si>
  <si>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</si>
  <si>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</si>
  <si>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</si>
  <si>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</si>
  <si>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</si>
  <si>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</si>
  <si>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</si>
  <si>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</si>
  <si>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</si>
  <si>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</si>
  <si>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</si>
  <si>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</si>
  <si>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</si>
  <si>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</si>
  <si>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</si>
  <si>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</si>
  <si>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</si>
  <si>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</si>
  <si>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</si>
  <si>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</si>
  <si>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</si>
  <si>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</si>
  <si>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</si>
  <si>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</si>
  <si>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</si>
  <si>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</si>
  <si>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</si>
  <si>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</si>
  <si>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</si>
  <si>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</si>
  <si>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</si>
  <si>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</si>
  <si>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</si>
  <si>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</si>
  <si>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</si>
  <si>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</si>
  <si>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</si>
  <si>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</si>
  <si>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</si>
  <si>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</si>
  <si>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</si>
  <si>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</si>
  <si>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</si>
  <si>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</si>
  <si>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</si>
  <si>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</si>
  <si>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</si>
  <si>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</si>
  <si>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</si>
  <si>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</si>
  <si>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</si>
  <si>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</si>
  <si>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</si>
  <si>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</si>
  <si>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</si>
  <si>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</si>
  <si>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</si>
  <si>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</si>
  <si>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</si>
  <si>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</si>
  <si>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</si>
  <si>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</si>
  <si>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</si>
  <si>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</si>
  <si>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</si>
  <si>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</si>
  <si>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</si>
  <si>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</si>
  <si>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</si>
  <si>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</si>
  <si>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</si>
  <si>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</si>
  <si>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</si>
  <si>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</si>
  <si>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</si>
  <si>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</si>
  <si>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</si>
  <si>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</si>
  <si>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</si>
  <si>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</si>
  <si>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</si>
  <si>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</si>
  <si>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</si>
  <si>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</si>
  <si>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</si>
  <si>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</si>
  <si>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</si>
  <si>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</si>
  <si>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</si>
  <si>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</si>
  <si>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</si>
  <si>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</si>
  <si>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</si>
  <si>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</si>
  <si>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</si>
  <si>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</si>
  <si>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</si>
  <si>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</si>
  <si>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</si>
  <si>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</si>
  <si>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</si>
  <si>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</si>
  <si>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</si>
  <si>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</si>
  <si>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</si>
  <si>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</si>
  <si>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</si>
  <si>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</si>
  <si>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</si>
  <si>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</si>
  <si>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</si>
  <si>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</si>
  <si>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</si>
  <si>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</si>
  <si>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</si>
  <si>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</si>
  <si>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</si>
  <si>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</si>
  <si>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</si>
  <si>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</si>
  <si>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</si>
  <si>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</si>
  <si>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</si>
  <si>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</si>
  <si>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</si>
  <si>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</si>
  <si>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</si>
  <si>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</si>
  <si>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</si>
  <si>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</si>
  <si>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</si>
  <si>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</si>
  <si>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</si>
  <si>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</si>
  <si>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</si>
  <si>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</si>
  <si>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</si>
  <si>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</si>
  <si>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</si>
  <si>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</si>
  <si>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</si>
  <si>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</si>
  <si>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</si>
  <si>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</si>
  <si>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</si>
  <si>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</si>
  <si>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</si>
  <si>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</si>
  <si>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</si>
  <si>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</si>
  <si>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</si>
  <si>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</si>
  <si>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</si>
  <si>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</si>
  <si>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</si>
  <si>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</si>
  <si>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</si>
  <si>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</si>
  <si>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</si>
  <si>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</si>
  <si>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</si>
  <si>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</si>
  <si>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</si>
  <si>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</si>
  <si>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</si>
  <si>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</si>
  <si>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</si>
  <si>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</si>
  <si>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</si>
  <si>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</si>
  <si>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</si>
  <si>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</si>
  <si>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</si>
  <si>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</si>
  <si>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</si>
  <si>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</si>
  <si>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</si>
  <si>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</si>
  <si>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</si>
  <si>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</si>
  <si>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</si>
  <si>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</si>
  <si>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</si>
  <si>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</si>
  <si>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</si>
  <si>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</si>
  <si>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</si>
  <si>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</si>
  <si>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</si>
  <si>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</si>
  <si>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</si>
  <si>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</si>
  <si>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</si>
  <si>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</si>
  <si>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</si>
  <si>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</si>
  <si>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</si>
  <si>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</si>
  <si>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</si>
  <si>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</si>
  <si>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</si>
  <si>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</si>
  <si>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</si>
  <si>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</si>
  <si>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</si>
  <si>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</si>
  <si>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</si>
  <si>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</si>
  <si>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</si>
  <si>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</si>
  <si>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</si>
  <si>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</si>
  <si>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</si>
  <si>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</si>
  <si>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</si>
  <si>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</si>
  <si>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</si>
  <si>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</si>
  <si>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</si>
  <si>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</si>
  <si>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</si>
  <si>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</si>
  <si>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</si>
  <si>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</si>
  <si>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</si>
  <si>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</si>
  <si>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</si>
  <si>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</si>
  <si>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</si>
  <si>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</si>
  <si>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</si>
  <si>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</si>
  <si>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</si>
  <si>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</si>
  <si>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</si>
  <si>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</si>
  <si>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</si>
  <si>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</si>
  <si>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</si>
  <si>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</si>
  <si>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</si>
  <si>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</si>
  <si>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</si>
  <si>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</si>
  <si>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</si>
  <si>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</si>
  <si>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</si>
  <si>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</si>
  <si>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</si>
  <si>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</si>
  <si>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</si>
  <si>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</si>
  <si>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</si>
  <si>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</si>
  <si>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</si>
  <si>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</si>
  <si>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</si>
  <si>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</si>
  <si>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</si>
  <si>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</si>
  <si>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</si>
  <si>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</si>
  <si>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</si>
  <si>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</si>
  <si>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</si>
  <si>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</si>
  <si>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</si>
  <si>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</si>
  <si>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</si>
  <si>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</si>
  <si>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</si>
  <si>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</si>
  <si>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</si>
  <si>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</si>
  <si>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</si>
  <si>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</si>
  <si>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</si>
  <si>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</si>
  <si>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</si>
  <si>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</si>
  <si>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</si>
  <si>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</si>
  <si>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</si>
  <si>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</si>
  <si>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</si>
  <si>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</si>
  <si>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</si>
  <si>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</si>
  <si>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</si>
  <si>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</si>
  <si>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</si>
  <si>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</si>
  <si>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</si>
  <si>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</si>
  <si>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</si>
  <si>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</si>
  <si>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</si>
  <si>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</si>
  <si>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</si>
  <si>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</si>
  <si>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</si>
  <si>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</si>
  <si>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</si>
  <si>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</si>
  <si>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</si>
  <si>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</si>
  <si>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</si>
  <si>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</si>
  <si>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</si>
  <si>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</si>
  <si>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</si>
  <si>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</si>
  <si>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</si>
  <si>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</si>
  <si>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</si>
  <si>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</si>
  <si>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</si>
  <si>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</si>
  <si>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</si>
  <si>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</si>
  <si>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</si>
  <si>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</si>
  <si>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</si>
  <si>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</si>
  <si>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</si>
  <si>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</si>
  <si>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</si>
  <si>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</si>
  <si>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</si>
  <si>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</si>
  <si>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</si>
  <si>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</si>
  <si>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</si>
  <si>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</si>
  <si>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</si>
  <si>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</si>
  <si>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</si>
  <si>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</si>
  <si>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</si>
  <si>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</si>
  <si>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</si>
  <si>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</si>
  <si>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</si>
  <si>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</si>
  <si>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</si>
  <si>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</si>
  <si>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</si>
  <si>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</si>
  <si>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</si>
  <si>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</si>
  <si>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</si>
  <si>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</si>
  <si>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</si>
  <si>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</si>
  <si>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</si>
  <si>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</si>
  <si>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</si>
  <si>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</si>
  <si>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</si>
  <si>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</si>
  <si>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</si>
  <si>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</si>
  <si>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</si>
  <si>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</si>
  <si>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</si>
  <si>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</si>
  <si>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</si>
  <si>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</si>
  <si>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</si>
  <si>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</si>
  <si>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</si>
  <si>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</si>
  <si>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</si>
  <si>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</si>
  <si>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</si>
  <si>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</si>
  <si>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</si>
  <si>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</si>
  <si>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</si>
  <si>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</si>
  <si>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</si>
  <si>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</si>
  <si>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</si>
  <si>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</si>
  <si>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</si>
  <si>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</si>
  <si>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</si>
  <si>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</si>
  <si>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</si>
  <si>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</si>
  <si>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</si>
  <si>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</si>
  <si>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</si>
  <si>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</si>
  <si>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</si>
  <si>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</si>
  <si>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</si>
  <si>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</si>
  <si>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</si>
  <si>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</si>
  <si>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</si>
  <si>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</si>
  <si>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</si>
  <si>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</si>
  <si>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</si>
  <si>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</si>
  <si>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</si>
  <si>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</si>
  <si>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</si>
  <si>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</si>
  <si>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</si>
  <si>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</si>
  <si>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</si>
  <si>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</si>
  <si>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</si>
  <si>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</si>
  <si>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</si>
  <si>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</si>
  <si>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</si>
  <si>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</si>
  <si>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</si>
  <si>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</si>
  <si>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</si>
  <si>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</si>
  <si>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</si>
  <si>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</si>
  <si>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</si>
  <si>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</si>
  <si>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</si>
  <si>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</si>
  <si>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</si>
  <si>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</si>
  <si>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</si>
  <si>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</si>
  <si>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</si>
  <si>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</si>
  <si>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</si>
  <si>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</si>
  <si>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</si>
  <si>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</si>
  <si>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</si>
  <si>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</si>
  <si>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</si>
  <si>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</si>
  <si>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</si>
  <si>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</si>
  <si>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</si>
  <si>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</si>
  <si>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</si>
  <si>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</si>
  <si>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</si>
  <si>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</si>
  <si>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</si>
  <si>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</si>
  <si>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</si>
  <si>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</si>
  <si>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</si>
  <si>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</si>
  <si>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</si>
  <si>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</si>
  <si>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</si>
  <si>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</si>
  <si>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</si>
  <si>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</si>
  <si>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</si>
  <si>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</si>
  <si>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</si>
  <si>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</si>
  <si>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</si>
  <si>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</si>
  <si>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</si>
  <si>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</si>
  <si>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</si>
  <si>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</si>
  <si>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</si>
  <si>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</si>
  <si>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</si>
  <si>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</si>
  <si>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</si>
  <si>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</si>
  <si>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</si>
  <si>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</si>
  <si>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</si>
  <si>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</si>
  <si>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</si>
  <si>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</si>
  <si>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</si>
  <si>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</si>
  <si>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</si>
  <si>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</si>
  <si>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</si>
  <si>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</si>
  <si>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</si>
  <si>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</si>
  <si>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</si>
  <si>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</si>
  <si>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</si>
  <si>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</si>
  <si>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</si>
  <si>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</si>
  <si>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</si>
  <si>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</si>
  <si>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</si>
  <si>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</si>
  <si>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</si>
  <si>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</si>
  <si>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</si>
  <si>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</si>
  <si>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</si>
  <si>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</si>
  <si>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</si>
  <si>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</si>
  <si>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</si>
  <si>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</si>
  <si>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</si>
  <si>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</si>
  <si>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</si>
  <si>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</si>
  <si>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</si>
  <si>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</si>
  <si>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</si>
  <si>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</si>
  <si>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</si>
  <si>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</si>
  <si>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</si>
  <si>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</si>
  <si>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</si>
  <si>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</si>
  <si>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</si>
  <si>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</si>
  <si>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</si>
  <si>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</si>
  <si>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</si>
  <si>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</si>
  <si>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</si>
  <si>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</si>
  <si>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</si>
  <si>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</si>
  <si>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</si>
  <si>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</si>
  <si>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</si>
  <si>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</si>
  <si>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</si>
  <si>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</si>
  <si>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</si>
  <si>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</si>
  <si>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</si>
  <si>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</si>
  <si>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</si>
  <si>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</si>
  <si>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</si>
  <si>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</si>
  <si>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</si>
  <si>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</si>
  <si>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</si>
  <si>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</si>
  <si>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</si>
  <si>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</si>
  <si>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</si>
  <si>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</si>
  <si>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</si>
  <si>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</si>
  <si>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</si>
  <si>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</si>
  <si>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</si>
  <si>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</si>
  <si>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</si>
  <si>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</si>
  <si>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</si>
  <si>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</si>
  <si>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</si>
  <si>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</si>
  <si>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</si>
  <si>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</si>
  <si>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</si>
  <si>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</si>
  <si>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</si>
  <si>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</si>
  <si>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</si>
  <si>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</si>
  <si>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</si>
  <si>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</si>
  <si>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</si>
  <si>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</si>
  <si>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</si>
  <si>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</si>
  <si>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</si>
  <si>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</si>
  <si>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</si>
  <si>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</si>
  <si>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</si>
  <si>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</si>
  <si>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</si>
  <si>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</si>
  <si>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</si>
  <si>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</si>
  <si>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</si>
  <si>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</si>
  <si>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</si>
  <si>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</si>
  <si>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</si>
  <si>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</si>
  <si>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</si>
  <si>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</si>
  <si>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</si>
  <si>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</si>
  <si>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</si>
  <si>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</si>
  <si>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</si>
  <si>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</si>
  <si>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</si>
  <si>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</si>
  <si>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</si>
  <si>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</si>
  <si>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</si>
  <si>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</si>
  <si>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</si>
  <si>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</si>
  <si>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</si>
  <si>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</si>
  <si>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</si>
  <si>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</si>
  <si>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</si>
  <si>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</si>
  <si>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</si>
  <si>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</si>
  <si>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</si>
  <si>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</si>
  <si>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</si>
  <si>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</si>
  <si>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</si>
  <si>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</si>
  <si>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</si>
  <si>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</si>
  <si>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</si>
  <si>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</si>
  <si>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</si>
  <si>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</si>
  <si>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</si>
  <si>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</si>
  <si>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</si>
  <si>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</si>
  <si>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</si>
  <si>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</si>
  <si>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</si>
  <si>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</si>
  <si>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</si>
  <si>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</si>
  <si>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</si>
  <si>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</si>
  <si>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</si>
  <si>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</si>
  <si>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</si>
  <si>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</si>
  <si>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</si>
  <si>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</si>
  <si>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</si>
  <si>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</si>
  <si>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</si>
  <si>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</si>
  <si>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</si>
  <si>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</si>
  <si>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</si>
  <si>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</si>
  <si>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</si>
  <si>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</si>
  <si>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</si>
  <si>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</si>
  <si>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</si>
  <si>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</si>
  <si>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</si>
  <si>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</si>
  <si>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</si>
  <si>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</si>
  <si>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</si>
  <si>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</si>
  <si>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</si>
  <si>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</si>
  <si>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</si>
  <si>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</si>
  <si>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</si>
  <si>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</si>
  <si>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</si>
  <si>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</si>
  <si>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</si>
  <si>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</si>
  <si>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</si>
  <si>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</si>
  <si>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</si>
  <si>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</si>
  <si>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</si>
  <si>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</si>
  <si>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</si>
  <si>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</si>
  <si>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</si>
  <si>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</si>
  <si>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</si>
  <si>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</si>
  <si>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</si>
  <si>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</si>
  <si>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</si>
  <si>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</si>
  <si>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</si>
  <si>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</si>
  <si>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</si>
  <si>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</si>
  <si>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</si>
  <si>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</si>
  <si>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</si>
  <si>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</si>
  <si>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</si>
  <si>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</si>
  <si>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</si>
  <si>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</si>
  <si>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</si>
  <si>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</si>
  <si>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</si>
  <si>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</si>
  <si>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</si>
  <si>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</si>
  <si>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</si>
  <si>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</si>
  <si>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</si>
  <si>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</si>
  <si>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</si>
  <si>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</si>
  <si>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</si>
  <si>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</si>
  <si>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</si>
  <si>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</si>
  <si>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</si>
  <si>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</si>
  <si>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</si>
  <si>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</si>
  <si>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</si>
  <si>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</si>
  <si>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</si>
  <si>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</si>
  <si>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</si>
  <si>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</si>
  <si>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</si>
  <si>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</si>
  <si>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</si>
  <si>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</si>
  <si>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</si>
  <si>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</si>
  <si>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</si>
  <si>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</si>
  <si>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</si>
  <si>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</si>
  <si>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</si>
  <si>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</si>
  <si>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</si>
  <si>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</si>
  <si>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</si>
  <si>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</si>
  <si>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</si>
  <si>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</si>
  <si>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</si>
  <si>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</si>
  <si>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</si>
  <si>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</si>
  <si>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</si>
  <si>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</si>
  <si>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</si>
  <si>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</si>
  <si>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</si>
  <si>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</si>
  <si>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</si>
  <si>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</si>
  <si>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</si>
  <si>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</si>
  <si>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</si>
  <si>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</si>
  <si>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</si>
  <si>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</si>
  <si>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</si>
  <si>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</si>
  <si>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</si>
  <si>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</si>
  <si>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</si>
  <si>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</si>
  <si>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</si>
  <si>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</si>
  <si>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</si>
  <si>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</si>
  <si>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</si>
  <si>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</si>
  <si>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</si>
  <si>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</si>
  <si>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</si>
  <si>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</si>
  <si>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</si>
  <si>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</si>
  <si>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</si>
  <si>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</si>
  <si>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</si>
  <si>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</si>
  <si>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</si>
  <si>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</si>
  <si>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</si>
  <si>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</si>
  <si>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</si>
  <si>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</si>
  <si>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</si>
  <si>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</si>
  <si>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</si>
  <si>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</si>
  <si>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</si>
  <si>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</si>
  <si>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</si>
  <si>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</si>
  <si>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</si>
  <si>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</si>
  <si>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</si>
  <si>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</si>
  <si>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</si>
  <si>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</si>
  <si>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</si>
  <si>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</si>
  <si>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</si>
  <si>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</si>
  <si>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</si>
  <si>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</si>
  <si>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</si>
  <si>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</si>
  <si>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</si>
  <si>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</si>
  <si>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</si>
  <si>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</si>
  <si>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</si>
  <si>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</si>
  <si>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</si>
  <si>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</si>
  <si>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</si>
  <si>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</si>
  <si>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</si>
  <si>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</si>
  <si>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</si>
  <si>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</si>
  <si>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</si>
  <si>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</si>
  <si>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</si>
  <si>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</si>
  <si>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</si>
  <si>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</si>
  <si>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</si>
  <si>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</si>
  <si>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</si>
  <si>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</si>
  <si>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</si>
  <si>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</si>
  <si>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</si>
  <si>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</si>
  <si>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</si>
  <si>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</si>
  <si>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</si>
  <si>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</si>
  <si>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</si>
  <si>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</si>
  <si>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</si>
  <si>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</si>
  <si>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</si>
  <si>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</si>
  <si>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</si>
  <si>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</si>
  <si>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</si>
  <si>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</si>
  <si>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</si>
  <si>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</si>
  <si>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</si>
  <si>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</si>
  <si>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</si>
  <si>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</si>
  <si>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</si>
  <si>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</si>
  <si>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</si>
  <si>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</si>
  <si>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</si>
  <si>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</si>
  <si>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</si>
  <si>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</si>
  <si>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</si>
  <si>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</si>
  <si>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</si>
  <si>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</si>
  <si>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</si>
  <si>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</si>
  <si>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</si>
  <si>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</si>
  <si>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</si>
  <si>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</si>
  <si>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</si>
  <si>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</si>
  <si>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</si>
  <si>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</si>
  <si>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</si>
  <si>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</si>
  <si>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</si>
  <si>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</si>
  <si>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</si>
  <si>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</si>
  <si>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</si>
  <si>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</si>
  <si>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</si>
  <si>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</si>
  <si>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</si>
  <si>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</si>
  <si>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</si>
  <si>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</si>
  <si>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</si>
  <si>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</si>
  <si>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</si>
  <si>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</si>
  <si>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</si>
  <si>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</si>
  <si>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</si>
  <si>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</si>
  <si>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</si>
  <si>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</si>
  <si>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</si>
  <si>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</si>
  <si>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</si>
  <si>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</si>
  <si>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</si>
  <si>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</si>
  <si>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</si>
  <si>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</si>
  <si>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</si>
  <si>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</si>
  <si>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</si>
  <si>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</si>
  <si>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</si>
  <si>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</si>
  <si>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</si>
  <si>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</si>
  <si>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</si>
  <si>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</si>
  <si>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</si>
  <si>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</si>
  <si>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</si>
  <si>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</si>
  <si>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</si>
  <si>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</si>
  <si>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</si>
  <si>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</si>
  <si>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</si>
  <si>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</si>
  <si>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</si>
  <si>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</si>
  <si>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</si>
  <si>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</si>
  <si>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</si>
  <si>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</si>
  <si>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</si>
  <si>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</si>
  <si>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</si>
  <si>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</si>
  <si>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</si>
  <si>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</si>
  <si>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</si>
  <si>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</si>
  <si>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</si>
  <si>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</si>
  <si>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</si>
  <si>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</si>
  <si>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</si>
  <si>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</si>
  <si>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</si>
  <si>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</si>
  <si>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</si>
  <si>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</si>
  <si>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</si>
  <si>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</si>
  <si>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</si>
  <si>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</si>
  <si>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</si>
  <si>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</si>
  <si>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</si>
  <si>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</si>
  <si>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</si>
  <si>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</si>
  <si>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</si>
  <si>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</si>
  <si>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</si>
  <si>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</si>
  <si>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</si>
  <si>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</si>
  <si>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</si>
  <si>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</si>
  <si>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</si>
  <si>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</si>
  <si>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</si>
  <si>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</si>
  <si>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</si>
  <si>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</si>
  <si>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</si>
  <si>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</si>
  <si>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</si>
  <si>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</si>
  <si>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</si>
  <si>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</si>
  <si>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</si>
  <si>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</si>
  <si>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</si>
  <si>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</si>
  <si>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</si>
  <si>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</si>
  <si>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</si>
  <si>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</si>
  <si>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</si>
  <si>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</si>
  <si>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</si>
  <si>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</si>
  <si>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</si>
  <si>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</si>
  <si>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</si>
  <si>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</si>
  <si>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</si>
  <si>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</si>
  <si>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</si>
  <si>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</si>
  <si>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</si>
  <si>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</si>
  <si>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</si>
  <si>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</si>
  <si>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</si>
  <si>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</si>
  <si>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</si>
  <si>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</si>
  <si>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</si>
  <si>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</si>
  <si>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</si>
  <si>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</si>
  <si>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</si>
  <si>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</si>
  <si>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</si>
  <si>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</si>
  <si>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</si>
  <si>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</si>
  <si>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</si>
  <si>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</si>
  <si>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</si>
  <si>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</si>
  <si>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</si>
  <si>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</si>
  <si>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</si>
  <si>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</si>
  <si>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</si>
  <si>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</si>
  <si>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</si>
  <si>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</si>
  <si>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</si>
  <si>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</si>
  <si>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</si>
  <si>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</si>
  <si>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</si>
  <si>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</si>
  <si>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</si>
  <si>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</si>
  <si>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</si>
  <si>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</si>
  <si>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</si>
  <si>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</si>
  <si>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</si>
  <si>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</si>
  <si>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</si>
  <si>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</si>
  <si>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</si>
  <si>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</si>
  <si>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</si>
  <si>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</si>
  <si>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</si>
  <si>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</si>
  <si>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</si>
  <si>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</si>
  <si>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</si>
  <si>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</si>
  <si>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</si>
  <si>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</si>
  <si>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</si>
  <si>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</si>
  <si>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</si>
  <si>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</si>
  <si>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</si>
  <si>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</si>
  <si>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</si>
  <si>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</si>
  <si>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</si>
  <si>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</si>
  <si>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</si>
  <si>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</si>
  <si>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</si>
  <si>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</si>
  <si>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</si>
  <si>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</si>
  <si>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</si>
  <si>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</si>
  <si>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</si>
  <si>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</si>
  <si>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</si>
  <si>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</si>
  <si>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</si>
  <si>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</si>
  <si>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</si>
  <si>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</si>
  <si>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</si>
  <si>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</si>
  <si>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</si>
  <si>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</si>
  <si>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</si>
  <si>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</si>
  <si>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</si>
  <si>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</si>
  <si>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</si>
  <si>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</si>
  <si>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</si>
  <si>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</si>
  <si>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</si>
  <si>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</si>
  <si>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</si>
  <si>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</si>
  <si>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</si>
  <si>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</si>
  <si>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</si>
  <si>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</si>
  <si>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</si>
  <si>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</si>
  <si>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</si>
  <si>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</si>
  <si>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</si>
  <si>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</si>
  <si>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</si>
  <si>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</si>
  <si>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</si>
  <si>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</si>
  <si>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</si>
  <si>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</si>
  <si>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</si>
  <si>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</si>
  <si>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</si>
  <si>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</si>
  <si>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</si>
  <si>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</si>
  <si>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</si>
  <si>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</si>
  <si>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</si>
  <si>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</si>
  <si>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</si>
  <si>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</si>
  <si>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</si>
  <si>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</si>
  <si>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</si>
  <si>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</si>
  <si>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</si>
  <si>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</si>
  <si>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</si>
  <si>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</si>
  <si>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</si>
  <si>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</si>
  <si>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</si>
  <si>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</si>
  <si>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</si>
  <si>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</si>
  <si>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</si>
  <si>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</si>
  <si>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</si>
  <si>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</si>
  <si>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</si>
  <si>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</si>
  <si>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</si>
  <si>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</si>
  <si>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</si>
  <si>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</si>
  <si>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</si>
  <si>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</si>
  <si>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</si>
  <si>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</si>
  <si>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</si>
  <si>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</si>
  <si>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</si>
  <si>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</si>
  <si>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</si>
  <si>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</si>
  <si>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</si>
  <si>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</si>
  <si>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</si>
  <si>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</si>
  <si>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</si>
  <si>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</si>
  <si>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</si>
  <si>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</si>
  <si>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</si>
  <si>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</si>
  <si>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</si>
  <si>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</si>
  <si>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</si>
  <si>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</si>
  <si>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</si>
  <si>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</si>
  <si>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</si>
  <si>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</si>
  <si>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</si>
  <si>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</si>
  <si>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</si>
  <si>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</si>
  <si>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</si>
  <si>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</si>
  <si>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</si>
  <si>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</si>
  <si>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</si>
  <si>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</si>
  <si>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</si>
  <si>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</si>
  <si>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</si>
  <si>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</si>
  <si>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</si>
  <si>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</si>
  <si>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</si>
  <si>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</si>
  <si>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</si>
  <si>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</si>
  <si>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</si>
  <si>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</si>
  <si>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</si>
  <si>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</si>
  <si>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</si>
  <si>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</si>
  <si>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</si>
  <si>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</si>
  <si>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</si>
  <si>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</si>
  <si>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</si>
  <si>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</si>
  <si>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</si>
  <si>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</si>
  <si>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</si>
  <si>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</si>
  <si>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</si>
  <si>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</si>
  <si>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</si>
  <si>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</si>
  <si>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</si>
  <si>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</si>
  <si>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</si>
  <si>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</si>
  <si>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</si>
  <si>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</si>
  <si>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</si>
  <si>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</si>
  <si>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</si>
  <si>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</si>
  <si>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</si>
  <si>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</si>
  <si>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</si>
  <si>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</si>
  <si>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</si>
  <si>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</si>
  <si>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</si>
  <si>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</si>
  <si>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</si>
  <si>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</si>
  <si>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</si>
  <si>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</si>
  <si>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</si>
  <si>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</si>
  <si>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</si>
  <si>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</si>
  <si>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</si>
  <si>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</si>
  <si>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</si>
  <si>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</si>
  <si>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</si>
  <si>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</si>
  <si>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</si>
  <si>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</si>
  <si>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</si>
  <si>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</si>
  <si>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</si>
  <si>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</si>
  <si>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</si>
  <si>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</si>
  <si>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</si>
  <si>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</si>
  <si>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</si>
  <si>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</si>
  <si>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</si>
  <si>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</si>
  <si>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</si>
  <si>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</si>
  <si>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</si>
  <si>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</si>
  <si>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</si>
  <si>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</si>
  <si>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</si>
  <si>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</si>
  <si>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</si>
  <si>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</si>
  <si>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</si>
  <si>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</si>
  <si>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</si>
  <si>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</si>
  <si>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</si>
  <si>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</si>
  <si>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</si>
  <si>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</si>
  <si>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</si>
  <si>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</si>
  <si>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</si>
  <si>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</si>
  <si>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</si>
  <si>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</si>
  <si>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</si>
  <si>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</si>
  <si>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</si>
  <si>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</si>
  <si>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</si>
  <si>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</si>
  <si>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</si>
  <si>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</si>
  <si>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</si>
  <si>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</si>
  <si>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</si>
  <si>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</si>
  <si>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</si>
  <si>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</si>
  <si>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</si>
  <si>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</si>
  <si>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</si>
  <si>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</si>
  <si>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</si>
  <si>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</si>
  <si>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</si>
  <si>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</si>
  <si>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</si>
  <si>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</si>
  <si>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</si>
  <si>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</si>
  <si>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</si>
  <si>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</si>
  <si>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</si>
  <si>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</si>
  <si>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</si>
  <si>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</si>
  <si>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</si>
  <si>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</si>
  <si>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</si>
  <si>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</si>
  <si>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</si>
  <si>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</si>
  <si>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</si>
  <si>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</si>
  <si>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</si>
  <si>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</si>
  <si>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</si>
  <si>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</si>
  <si>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</si>
  <si>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</si>
  <si>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</si>
  <si>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</si>
  <si>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</si>
  <si>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</si>
  <si>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</si>
  <si>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</si>
  <si>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</si>
  <si>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</si>
  <si>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</si>
  <si>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</si>
  <si>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</si>
  <si>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</si>
  <si>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</si>
  <si>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</si>
  <si>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</si>
  <si>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</si>
  <si>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</si>
  <si>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</si>
  <si>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</si>
  <si>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</si>
  <si>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</si>
  <si>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</si>
  <si>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</si>
  <si>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</si>
  <si>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</si>
  <si>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</si>
  <si>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</si>
  <si>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</si>
  <si>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</si>
  <si>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</si>
  <si>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</si>
  <si>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</si>
  <si>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</si>
  <si>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</si>
  <si>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</si>
  <si>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</si>
  <si>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</si>
  <si>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</si>
  <si>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</si>
  <si>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</si>
  <si>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</si>
  <si>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</si>
  <si>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</si>
  <si>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</si>
  <si>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</si>
  <si>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</si>
  <si>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</si>
  <si>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</si>
  <si>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</si>
  <si>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</si>
  <si>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</si>
  <si>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</si>
  <si>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</si>
  <si>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</si>
  <si>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</si>
  <si>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</si>
  <si>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</si>
  <si>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</si>
  <si>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</si>
  <si>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</si>
  <si>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</si>
  <si>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</si>
  <si>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</si>
  <si>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</si>
  <si>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</si>
  <si>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</si>
  <si>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</si>
  <si>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</si>
  <si>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</si>
  <si>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</si>
  <si>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</si>
  <si>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</si>
  <si>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</si>
  <si>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</si>
  <si>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</si>
  <si>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</si>
  <si>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</si>
  <si>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</si>
  <si>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</si>
  <si>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</si>
  <si>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</si>
  <si>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</si>
  <si>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</si>
  <si>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</si>
  <si>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</si>
  <si>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</si>
  <si>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</si>
  <si>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</si>
  <si>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</si>
  <si>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</si>
  <si>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</si>
  <si>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</si>
  <si>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</si>
  <si>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</si>
  <si>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</si>
  <si>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</si>
  <si>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</si>
  <si>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</si>
  <si>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</si>
  <si>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</si>
  <si>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</si>
  <si>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</si>
  <si>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</si>
  <si>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</si>
  <si>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</si>
  <si>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</si>
  <si>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</si>
  <si>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</si>
  <si>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</si>
  <si>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</si>
  <si>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</si>
  <si>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</si>
  <si>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</si>
  <si>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</si>
  <si>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</si>
  <si>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</si>
  <si>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</si>
  <si>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</si>
  <si>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</si>
  <si>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</si>
  <si>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</si>
  <si>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</si>
  <si>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</si>
  <si>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</si>
  <si>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</si>
  <si>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</si>
  <si>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</si>
  <si>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</si>
  <si>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</si>
  <si>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</si>
  <si>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</si>
  <si>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</si>
  <si>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</si>
  <si>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</si>
  <si>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</si>
  <si>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</si>
  <si>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</si>
  <si>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</si>
  <si>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</si>
  <si>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</si>
  <si>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</si>
  <si>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</si>
  <si>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</si>
  <si>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</si>
  <si>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</si>
  <si>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</si>
  <si>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</si>
  <si>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</si>
  <si>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</si>
  <si>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</si>
  <si>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</si>
  <si>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</si>
  <si>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</si>
  <si>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</si>
  <si>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</si>
  <si>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</si>
  <si>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</si>
  <si>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</si>
  <si>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</si>
  <si>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</si>
  <si>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</si>
  <si>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</si>
  <si>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</si>
  <si>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</si>
  <si>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</si>
  <si>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</si>
  <si>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</si>
  <si>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</si>
  <si>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</si>
  <si>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</si>
  <si>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</si>
  <si>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</si>
  <si>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</si>
  <si>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</si>
  <si>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</si>
  <si>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</si>
  <si>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</si>
  <si>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</si>
  <si>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</si>
  <si>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</si>
  <si>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</si>
  <si>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</si>
  <si>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</si>
  <si>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</si>
  <si>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</si>
  <si>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</si>
  <si>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</si>
  <si>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</si>
  <si>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</si>
  <si>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</si>
  <si>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</si>
  <si>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</si>
  <si>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</si>
  <si>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</si>
  <si>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</si>
  <si>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</si>
  <si>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</si>
  <si>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</si>
  <si>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</si>
  <si>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</si>
  <si>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</si>
  <si>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</si>
  <si>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</si>
  <si>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</si>
  <si>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</si>
  <si>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</si>
  <si>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</si>
  <si>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</si>
  <si>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</si>
  <si>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</si>
  <si>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</si>
  <si>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</si>
  <si>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</si>
  <si>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</si>
  <si>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</si>
  <si>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</si>
  <si>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</si>
  <si>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</si>
  <si>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</si>
  <si>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</si>
  <si>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</si>
  <si>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</si>
  <si>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</si>
  <si>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</si>
  <si>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</si>
  <si>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</si>
  <si>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</si>
  <si>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</si>
  <si>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</si>
  <si>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</si>
  <si>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</si>
  <si>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</si>
  <si>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</si>
  <si>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</si>
  <si>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</si>
  <si>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</si>
  <si>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</si>
  <si>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</si>
  <si>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</si>
  <si>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</si>
  <si>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</si>
  <si>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</si>
  <si>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</si>
  <si>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</si>
  <si>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</si>
  <si>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</si>
  <si>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</si>
  <si>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</si>
  <si>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</si>
  <si>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</si>
  <si>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</si>
  <si>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</si>
  <si>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</si>
  <si>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</si>
  <si>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</si>
  <si>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</si>
  <si>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</si>
  <si>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</si>
  <si>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</si>
  <si>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</si>
  <si>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</si>
  <si>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</si>
  <si>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</si>
  <si>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</si>
  <si>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</si>
  <si>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</si>
  <si>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</si>
  <si>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</si>
  <si>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</si>
  <si>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</si>
  <si>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</si>
  <si>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</si>
  <si>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</si>
  <si>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</si>
  <si>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</si>
  <si>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</si>
  <si>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</si>
  <si>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</si>
  <si>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</si>
  <si>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</si>
  <si>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</si>
  <si>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</si>
  <si>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</si>
  <si>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</si>
  <si>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</si>
  <si>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</si>
  <si>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</si>
  <si>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</si>
  <si>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</si>
  <si>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</si>
  <si>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</si>
  <si>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</si>
  <si>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</si>
  <si>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</si>
  <si>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</si>
  <si>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</si>
  <si>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</si>
  <si>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</si>
  <si>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</si>
  <si>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</si>
  <si>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</si>
  <si>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</si>
  <si>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</si>
  <si>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</si>
  <si>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</si>
  <si>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</si>
  <si>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</si>
  <si>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</si>
  <si>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</si>
  <si>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</si>
  <si>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</si>
  <si>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</si>
  <si>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</si>
  <si>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</si>
  <si>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</si>
  <si>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</si>
  <si>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</si>
  <si>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</si>
  <si>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</si>
  <si>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</si>
  <si>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</si>
  <si>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</si>
  <si>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</si>
  <si>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</si>
  <si>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</si>
  <si>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</si>
  <si>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</si>
  <si>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</si>
  <si>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</si>
  <si>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</si>
  <si>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</si>
  <si>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</si>
  <si>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</si>
  <si>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</si>
  <si>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</si>
  <si>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</si>
  <si>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</si>
  <si>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</si>
  <si>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</si>
  <si>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</si>
  <si>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</si>
  <si>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</si>
  <si>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</si>
  <si>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</si>
  <si>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</si>
  <si>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</si>
  <si>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</si>
  <si>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</si>
  <si>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</si>
  <si>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</si>
  <si>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</si>
  <si>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</si>
  <si>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</si>
  <si>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</si>
  <si>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</si>
  <si>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</si>
  <si>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</si>
  <si>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</si>
  <si>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</si>
  <si>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</si>
  <si>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</si>
  <si>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</si>
  <si>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</si>
  <si>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</si>
  <si>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</si>
  <si>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</si>
  <si>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</si>
  <si>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</si>
  <si>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</si>
  <si>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</si>
  <si>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</si>
  <si>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</si>
  <si>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</si>
  <si>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</si>
  <si>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</si>
  <si>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</si>
  <si>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</si>
  <si>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</si>
  <si>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</si>
  <si>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</si>
  <si>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</si>
  <si>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</si>
  <si>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</si>
  <si>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</si>
  <si>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</si>
  <si>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</si>
  <si>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</si>
  <si>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</si>
  <si>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</si>
  <si>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</si>
  <si>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</si>
  <si>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</si>
  <si>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</si>
  <si>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</si>
  <si>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</si>
  <si>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</si>
  <si>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</si>
  <si>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</si>
  <si>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</si>
  <si>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</si>
  <si>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</si>
  <si>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</si>
  <si>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</si>
  <si>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</si>
  <si>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</si>
  <si>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</si>
  <si>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</si>
  <si>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</si>
  <si>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</si>
  <si>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</si>
  <si>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</si>
  <si>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</si>
  <si>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</si>
  <si>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</si>
  <si>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</si>
  <si>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</si>
  <si>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</si>
  <si>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</si>
  <si>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</si>
  <si>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</si>
  <si>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</si>
  <si>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</si>
  <si>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</si>
  <si>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</si>
  <si>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</si>
  <si>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</si>
  <si>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</si>
  <si>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</si>
  <si>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</si>
  <si>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</si>
  <si>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</si>
  <si>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</si>
  <si>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</si>
  <si>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</si>
  <si>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</si>
  <si>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</si>
  <si>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</si>
  <si>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</si>
  <si>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</si>
  <si>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</si>
  <si>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</si>
  <si>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</si>
  <si>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</si>
  <si>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</si>
  <si>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</si>
  <si>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</si>
  <si>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</si>
  <si>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</si>
  <si>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</si>
  <si>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</si>
  <si>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</si>
  <si>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</si>
  <si>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</si>
  <si>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</si>
  <si>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</si>
  <si>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</si>
  <si>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</si>
  <si>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</si>
  <si>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</si>
  <si>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</si>
  <si>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</si>
  <si>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</si>
  <si>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</si>
  <si>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</si>
  <si>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</si>
  <si>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</si>
  <si>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</si>
  <si>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</si>
  <si>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</si>
  <si>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</si>
  <si>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</si>
  <si>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</si>
  <si>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</si>
  <si>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</si>
  <si>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</si>
  <si>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</si>
  <si>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</si>
  <si>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</si>
  <si>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</si>
  <si>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</si>
  <si>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</si>
  <si>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</si>
  <si>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</si>
  <si>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</si>
  <si>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</si>
  <si>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</si>
  <si>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</si>
  <si>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</si>
  <si>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</si>
  <si>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</si>
  <si>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</si>
  <si>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</si>
  <si>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</si>
  <si>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</si>
  <si>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</si>
  <si>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</si>
  <si>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</si>
  <si>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</si>
  <si>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</si>
  <si>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</si>
  <si>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</si>
  <si>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</si>
  <si>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</si>
  <si>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</si>
  <si>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</si>
  <si>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</si>
  <si>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</si>
  <si>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</si>
  <si>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</si>
  <si>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</si>
  <si>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</si>
  <si>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</si>
  <si>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</si>
  <si>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</si>
  <si>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</si>
  <si>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</si>
  <si>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</si>
  <si>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</si>
  <si>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</si>
  <si>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</si>
  <si>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</si>
  <si>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</si>
  <si>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</si>
  <si>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</si>
  <si>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</si>
  <si>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</si>
  <si>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</si>
  <si>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</si>
  <si>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</si>
  <si>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</si>
  <si>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</si>
  <si>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</si>
  <si>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</si>
  <si>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</si>
  <si>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</si>
  <si>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</si>
  <si>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</si>
  <si>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</si>
  <si>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</si>
  <si>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</si>
  <si>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</si>
  <si>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</si>
  <si>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</si>
  <si>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</si>
  <si>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</si>
  <si>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</si>
  <si>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</si>
  <si>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</si>
  <si>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</si>
  <si>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</si>
  <si>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</si>
  <si>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</si>
  <si>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</si>
  <si>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</si>
  <si>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</si>
  <si>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</si>
  <si>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</si>
  <si>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</si>
  <si>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</si>
  <si>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</si>
  <si>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</si>
  <si>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</si>
  <si>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</si>
  <si>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</si>
  <si>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</si>
  <si>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</si>
  <si>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</si>
  <si>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</si>
  <si>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</si>
  <si>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</si>
  <si>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</si>
  <si>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</si>
  <si>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</si>
  <si>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</si>
  <si>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</si>
  <si>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</si>
  <si>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</si>
  <si>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</si>
  <si>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</si>
  <si>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</si>
  <si>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</si>
  <si>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</si>
  <si>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</si>
  <si>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</si>
  <si>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</si>
  <si>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</si>
  <si>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</si>
  <si>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</si>
  <si>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</si>
  <si>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</si>
  <si>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</si>
  <si>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</si>
  <si>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</si>
  <si>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</si>
  <si>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</si>
  <si>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</si>
  <si>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</si>
  <si>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</si>
  <si>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</si>
  <si>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</si>
  <si>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</si>
  <si>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</si>
  <si>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</si>
  <si>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</si>
  <si>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</si>
  <si>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</si>
  <si>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</si>
  <si>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</si>
  <si>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</si>
  <si>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</si>
  <si>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</si>
  <si>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</si>
  <si>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</si>
  <si>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</si>
  <si>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</si>
  <si>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</si>
  <si>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</si>
  <si>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</si>
  <si>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</si>
  <si>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</si>
  <si>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</si>
  <si>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</si>
  <si>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</si>
  <si>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</si>
  <si>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</si>
  <si>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</si>
  <si>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</si>
  <si>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</si>
  <si>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</si>
  <si>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</si>
  <si>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</si>
  <si>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</si>
  <si>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</si>
  <si>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</si>
  <si>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</si>
  <si>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</si>
  <si>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</si>
  <si>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</si>
  <si>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</si>
  <si>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</si>
  <si>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</si>
  <si>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</si>
  <si>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</si>
  <si>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</si>
  <si>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</si>
  <si>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</si>
  <si>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</si>
  <si>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</si>
  <si>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</si>
  <si>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</si>
  <si>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</si>
  <si>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</si>
  <si>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</si>
  <si>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</si>
  <si>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</si>
  <si>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</si>
  <si>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</si>
  <si>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</si>
  <si>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</si>
  <si>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</si>
  <si>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</si>
  <si>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</si>
  <si>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</si>
  <si>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</si>
  <si>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</si>
  <si>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</si>
  <si>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</si>
  <si>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</si>
  <si>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</si>
  <si>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</si>
  <si>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</si>
  <si>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</si>
  <si>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</si>
  <si>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</si>
  <si>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</si>
  <si>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</si>
  <si>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</si>
  <si>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</si>
  <si>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</si>
  <si>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</si>
  <si>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</si>
  <si>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</si>
  <si>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</si>
  <si>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</si>
  <si>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</si>
  <si>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</si>
  <si>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</si>
  <si>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</si>
  <si>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</si>
  <si>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</si>
  <si>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</si>
  <si>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</si>
  <si>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</si>
  <si>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</si>
  <si>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</si>
  <si>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</si>
  <si>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</si>
  <si>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</si>
  <si>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</si>
  <si>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</si>
  <si>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</si>
  <si>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</si>
  <si>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</si>
  <si>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</si>
  <si>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</si>
  <si>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</si>
  <si>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</si>
  <si>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</si>
  <si>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</si>
  <si>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</si>
  <si>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</si>
  <si>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</si>
  <si>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</si>
  <si>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</si>
  <si>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</si>
  <si>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</si>
  <si>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</si>
  <si>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</si>
  <si>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</si>
  <si>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</si>
  <si>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</si>
  <si>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</si>
  <si>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</si>
  <si>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</si>
  <si>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</si>
  <si>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</si>
  <si>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</si>
  <si>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</si>
  <si>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</si>
  <si>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</si>
  <si>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</si>
  <si>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</si>
  <si>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</si>
  <si>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</si>
  <si>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</si>
  <si>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</si>
  <si>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</si>
  <si>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</si>
  <si>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</si>
  <si>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</si>
  <si>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</si>
  <si>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</si>
  <si>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</si>
  <si>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</si>
  <si>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</si>
  <si>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</si>
  <si>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</si>
  <si>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</si>
  <si>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</si>
  <si>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</si>
  <si>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</si>
  <si>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</si>
  <si>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</si>
  <si>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</si>
  <si>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</si>
  <si>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</si>
  <si>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</si>
  <si>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</si>
  <si>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</si>
  <si>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</si>
  <si>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</si>
  <si>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</si>
  <si>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</si>
  <si>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</si>
  <si>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</si>
  <si>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</si>
  <si>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</si>
  <si>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</si>
  <si>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</si>
  <si>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</si>
  <si>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</si>
  <si>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</si>
  <si>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</si>
  <si>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</si>
  <si>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</si>
  <si>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</si>
  <si>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</si>
  <si>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</si>
  <si>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</si>
  <si>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</si>
  <si>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</si>
  <si>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</si>
  <si>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</si>
  <si>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</si>
  <si>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</si>
  <si>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</si>
  <si>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</si>
  <si>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</si>
  <si>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</si>
  <si>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</si>
  <si>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</si>
  <si>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</si>
  <si>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</si>
  <si>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</si>
  <si>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</si>
  <si>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</si>
  <si>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</si>
  <si>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</si>
  <si>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</si>
  <si>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</si>
  <si>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</si>
  <si>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</si>
  <si>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</si>
  <si>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</si>
  <si>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</si>
  <si>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</si>
  <si>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</si>
  <si>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</si>
  <si>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</si>
  <si>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</si>
  <si>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</si>
  <si>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</si>
  <si>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</si>
  <si>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</si>
  <si>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</si>
  <si>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</si>
  <si>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</si>
  <si>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</si>
  <si>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</si>
  <si>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</si>
  <si>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</si>
  <si>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</si>
  <si>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</si>
  <si>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</si>
  <si>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</si>
  <si>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</si>
  <si>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</si>
  <si>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</si>
  <si>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</si>
  <si>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</si>
  <si>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</si>
  <si>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</si>
  <si>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</si>
  <si>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</si>
  <si>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</si>
  <si>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</si>
  <si>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</si>
  <si>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</si>
  <si>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</si>
  <si>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</si>
  <si>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</si>
  <si>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</si>
  <si>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</si>
  <si>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</si>
  <si>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</si>
  <si>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</si>
  <si>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</si>
  <si>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</si>
  <si>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</si>
  <si>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</si>
  <si>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</si>
  <si>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</si>
  <si>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</si>
  <si>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</si>
  <si>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</si>
  <si>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</si>
  <si>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</si>
  <si>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</si>
  <si>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</si>
  <si>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</si>
  <si>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</si>
  <si>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</si>
  <si>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</si>
  <si>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</si>
  <si>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</si>
  <si>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</si>
  <si>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</si>
  <si>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</si>
  <si>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</si>
  <si>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</si>
  <si>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</si>
  <si>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</si>
  <si>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</si>
  <si>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</si>
  <si>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</si>
  <si>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</si>
  <si>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</si>
  <si>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</si>
  <si>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</si>
  <si>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</si>
  <si>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</si>
  <si>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</si>
  <si>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</si>
  <si>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</si>
  <si>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</si>
  <si>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</si>
  <si>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</si>
  <si>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</si>
  <si>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</si>
  <si>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</si>
  <si>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</si>
  <si>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</si>
  <si>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</si>
  <si>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</si>
  <si>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</si>
  <si>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</si>
  <si>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</si>
  <si>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</si>
  <si>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</si>
  <si>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</si>
  <si>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</si>
  <si>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</si>
  <si>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</si>
  <si>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</si>
  <si>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</si>
  <si>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</si>
  <si>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</si>
  <si>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</si>
  <si>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</si>
  <si>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</si>
  <si>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</si>
  <si>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</si>
  <si>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</si>
  <si>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</si>
  <si>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</si>
  <si>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</si>
  <si>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</si>
  <si>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</si>
  <si>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</si>
  <si>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</si>
  <si>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</si>
  <si>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</si>
  <si>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</si>
  <si>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</si>
  <si>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</si>
  <si>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</si>
  <si>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</si>
  <si>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</si>
  <si>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</si>
  <si>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</si>
  <si>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</si>
  <si>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</si>
  <si>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</si>
  <si>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</si>
  <si>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</si>
  <si>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</si>
  <si>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</si>
  <si>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</si>
  <si>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</si>
  <si>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</si>
  <si>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</si>
  <si>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</si>
  <si>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</si>
  <si>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</si>
  <si>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</si>
  <si>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</si>
  <si>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</si>
  <si>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</si>
  <si>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</si>
  <si>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</si>
  <si>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</si>
  <si>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</si>
  <si>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</si>
  <si>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</si>
  <si>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</si>
  <si>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</si>
  <si>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</si>
  <si>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</si>
  <si>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</si>
  <si>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</si>
  <si>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</si>
  <si>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</si>
  <si>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</si>
  <si>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</si>
  <si>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</si>
  <si>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</si>
  <si>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</si>
  <si>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</si>
  <si>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</si>
  <si>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</si>
  <si>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</si>
  <si>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</si>
  <si>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</si>
  <si>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</si>
  <si>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</si>
  <si>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</si>
  <si>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</si>
  <si>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</si>
  <si>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</si>
  <si>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</si>
  <si>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</si>
  <si>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</si>
  <si>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</si>
  <si>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</si>
  <si>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</si>
  <si>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</si>
  <si>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</si>
  <si>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</si>
  <si>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</si>
  <si>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</si>
  <si>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</si>
  <si>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</si>
  <si>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</si>
  <si>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</si>
  <si>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</si>
  <si>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</si>
  <si>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</si>
  <si>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</si>
  <si>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</si>
  <si>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</si>
  <si>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</si>
  <si>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</si>
  <si>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</si>
  <si>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</si>
  <si>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</si>
  <si>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</si>
  <si>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</si>
  <si>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</si>
  <si>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</si>
  <si>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</si>
  <si>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</si>
  <si>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</si>
  <si>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</si>
  <si>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</si>
  <si>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</si>
  <si>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</si>
  <si>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</si>
  <si>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</si>
  <si>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</si>
  <si>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</si>
  <si>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</si>
  <si>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</si>
  <si>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</si>
  <si>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</si>
  <si>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</si>
  <si>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</si>
  <si>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</si>
  <si>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</si>
  <si>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</si>
  <si>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</si>
  <si>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</si>
  <si>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</si>
  <si>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</si>
  <si>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</si>
  <si>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</si>
  <si>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</si>
  <si>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</si>
  <si>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</si>
  <si>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</si>
  <si>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</si>
  <si>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</si>
  <si>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</si>
  <si>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</si>
  <si>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</si>
  <si>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</si>
  <si>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</si>
  <si>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</si>
  <si>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</si>
  <si>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</si>
  <si>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</si>
  <si>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</si>
  <si>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</si>
  <si>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</si>
  <si>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</si>
  <si>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</si>
  <si>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</si>
  <si>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</si>
  <si>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</si>
  <si>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</si>
  <si>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</si>
  <si>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</si>
  <si>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</si>
  <si>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</si>
  <si>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</si>
  <si>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</si>
  <si>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</si>
  <si>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</si>
  <si>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</si>
  <si>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</si>
  <si>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</si>
  <si>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</si>
  <si>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</si>
  <si>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</si>
  <si>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</si>
  <si>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</si>
  <si>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</si>
  <si>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</si>
  <si>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</si>
  <si>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</si>
  <si>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</si>
  <si>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</si>
  <si>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</si>
  <si>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</si>
  <si>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</si>
  <si>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</si>
  <si>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</si>
  <si>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</si>
  <si>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</si>
  <si>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</si>
  <si>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</si>
  <si>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</si>
  <si>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</si>
  <si>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</si>
  <si>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</si>
  <si>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</si>
  <si>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</si>
  <si>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</si>
  <si>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</si>
  <si>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</si>
  <si>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</si>
  <si>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</si>
  <si>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</si>
  <si>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</si>
  <si>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</si>
  <si>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</si>
  <si>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</si>
  <si>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</si>
  <si>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</si>
  <si>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</si>
  <si>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</si>
  <si>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</si>
  <si>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</si>
  <si>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</si>
  <si>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</si>
  <si>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</si>
  <si>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</si>
  <si>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</si>
  <si>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</si>
  <si>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</si>
  <si>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</si>
  <si>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</si>
  <si>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</si>
  <si>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</si>
  <si>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</si>
  <si>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</si>
  <si>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</si>
  <si>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</si>
  <si>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</si>
  <si>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</si>
  <si>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</si>
  <si>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</si>
  <si>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</si>
  <si>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</si>
  <si>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</si>
  <si>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</si>
  <si>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</si>
  <si>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</si>
  <si>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</si>
  <si>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</si>
  <si>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</si>
  <si>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</si>
  <si>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</si>
  <si>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</si>
  <si>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</si>
  <si>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</si>
  <si>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</si>
  <si>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</si>
  <si>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</si>
  <si>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</si>
  <si>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</si>
  <si>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</si>
  <si>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</si>
  <si>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</si>
  <si>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</si>
  <si>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</si>
  <si>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</si>
  <si>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</si>
  <si>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</si>
  <si>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</si>
  <si>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</si>
  <si>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</si>
  <si>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</si>
  <si>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</si>
  <si>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</si>
  <si>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</si>
  <si>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</si>
  <si>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</si>
  <si>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</si>
  <si>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</si>
  <si>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</si>
  <si>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</si>
  <si>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</si>
  <si>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</si>
  <si>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</si>
  <si>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</si>
  <si>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</si>
  <si>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</si>
  <si>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</si>
  <si>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</si>
  <si>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</si>
  <si>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</si>
  <si>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</si>
  <si>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</si>
  <si>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</si>
  <si>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</si>
  <si>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</si>
  <si>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</si>
  <si>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</si>
  <si>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</si>
  <si>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</si>
  <si>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</si>
  <si>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</si>
  <si>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</si>
  <si>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</si>
  <si>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</si>
  <si>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</si>
  <si>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</si>
  <si>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</si>
  <si>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</si>
  <si>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</si>
  <si>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</si>
  <si>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</si>
  <si>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</si>
  <si>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</si>
  <si>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</si>
  <si>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</si>
  <si>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</si>
  <si>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</si>
  <si>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</si>
  <si>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</si>
  <si>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</si>
  <si>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</si>
  <si>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</si>
  <si>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</si>
  <si>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</si>
  <si>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</si>
  <si>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</si>
  <si>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</si>
  <si>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</si>
  <si>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</si>
  <si>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</si>
  <si>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</si>
  <si>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</si>
  <si>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</si>
  <si>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</si>
  <si>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</si>
  <si>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</si>
  <si>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</si>
  <si>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</si>
  <si>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</si>
  <si>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</si>
  <si>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</si>
  <si>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</si>
  <si>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</si>
  <si>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</si>
  <si>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</si>
  <si>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</si>
  <si>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</si>
  <si>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</si>
  <si>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</si>
  <si>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</si>
  <si>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</si>
  <si>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</si>
  <si>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</si>
  <si>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</si>
  <si>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</si>
  <si>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</si>
  <si>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</si>
  <si>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</si>
  <si>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</si>
  <si>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</si>
  <si>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</si>
  <si>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</si>
  <si>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</si>
  <si>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</si>
  <si>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</si>
  <si>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</si>
  <si>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</si>
  <si>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</si>
  <si>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</si>
  <si>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</si>
  <si>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</si>
  <si>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</si>
  <si>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</si>
  <si>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</si>
  <si>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</si>
  <si>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</si>
  <si>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</si>
  <si>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</si>
  <si>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</si>
  <si>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</si>
  <si>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</si>
  <si>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</si>
  <si>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</si>
  <si>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</si>
  <si>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</si>
  <si>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</si>
  <si>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</si>
  <si>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</si>
  <si>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</si>
  <si>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</si>
  <si>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</si>
  <si>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</si>
  <si>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</si>
  <si>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</si>
  <si>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</si>
  <si>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</si>
  <si>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</si>
  <si>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</si>
  <si>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</si>
  <si>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</si>
  <si>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</si>
  <si>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</si>
  <si>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</si>
  <si>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</si>
  <si>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</si>
  <si>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</si>
  <si>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</si>
  <si>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</si>
  <si>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</si>
  <si>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</si>
  <si>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</si>
  <si>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</si>
  <si>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</si>
  <si>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</si>
  <si>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</si>
  <si>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</si>
  <si>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</si>
  <si>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</si>
  <si>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</si>
  <si>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</si>
  <si>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</si>
  <si>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</si>
  <si>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</si>
  <si>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</si>
  <si>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</si>
  <si>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</si>
  <si>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</si>
  <si>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</si>
  <si>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</si>
  <si>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</si>
  <si>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</si>
  <si>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</si>
  <si>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</si>
  <si>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</si>
  <si>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</si>
  <si>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</si>
  <si>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</si>
  <si>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</si>
  <si>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</si>
  <si>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</si>
  <si>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</si>
  <si>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</si>
  <si>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</si>
  <si>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</si>
  <si>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</si>
  <si>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</si>
  <si>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</si>
  <si>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</si>
  <si>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</si>
  <si>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</si>
  <si>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</si>
  <si>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</si>
  <si>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</si>
  <si>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</si>
  <si>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</si>
  <si>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</si>
  <si>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</si>
  <si>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</si>
  <si>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</si>
  <si>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</si>
  <si>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</si>
  <si>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</si>
  <si>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</si>
  <si>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</si>
  <si>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</si>
  <si>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</si>
  <si>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</si>
  <si>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</si>
  <si>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</si>
  <si>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</si>
  <si>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</si>
  <si>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</si>
  <si>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</si>
  <si>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</si>
  <si>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</si>
  <si>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</si>
  <si>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</si>
  <si>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</si>
  <si>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</si>
  <si>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</si>
  <si>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</si>
  <si>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</si>
  <si>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</si>
  <si>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</si>
  <si>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</si>
  <si>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</si>
  <si>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</si>
  <si>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</si>
  <si>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</si>
  <si>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</si>
  <si>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</si>
  <si>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</si>
  <si>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</si>
  <si>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</si>
  <si>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</si>
  <si>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</si>
  <si>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</si>
  <si>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</si>
  <si>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</si>
  <si>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</si>
  <si>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</si>
  <si>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</si>
  <si>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</si>
  <si>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</si>
  <si>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</si>
  <si>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</si>
  <si>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</si>
  <si>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</si>
  <si>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</si>
  <si>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</si>
  <si>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</si>
  <si>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</si>
  <si>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</si>
  <si>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</si>
  <si>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</si>
  <si>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</si>
  <si>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</si>
  <si>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</si>
  <si>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</si>
  <si>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</si>
  <si>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</si>
  <si>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</si>
  <si>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</si>
  <si>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</si>
  <si>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</si>
  <si>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</si>
  <si>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</si>
  <si>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</si>
  <si>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</si>
  <si>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</si>
  <si>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</si>
  <si>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</si>
  <si>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</si>
  <si>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</si>
  <si>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</si>
  <si>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</si>
  <si>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</si>
  <si>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</si>
  <si>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</si>
  <si>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</si>
  <si>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</si>
  <si>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</si>
  <si>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</si>
  <si>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</si>
  <si>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</si>
  <si>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</si>
  <si>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</si>
  <si>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</si>
  <si>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</si>
  <si>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</si>
  <si>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</si>
  <si>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</si>
  <si>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</si>
  <si>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</si>
  <si>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</si>
  <si>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</si>
  <si>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</si>
  <si>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</si>
  <si>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</si>
  <si>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</si>
  <si>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</si>
  <si>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</si>
  <si>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</si>
  <si>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</si>
  <si>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</si>
  <si>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</si>
  <si>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</si>
  <si>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</si>
  <si>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</si>
  <si>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</si>
  <si>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</si>
  <si>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</si>
  <si>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</si>
  <si>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</si>
  <si>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</si>
  <si>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</si>
  <si>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</si>
  <si>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</si>
  <si>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</si>
  <si>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</si>
  <si>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</si>
  <si>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</si>
  <si>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</si>
  <si>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</si>
  <si>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</si>
  <si>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</si>
  <si>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</si>
  <si>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</si>
  <si>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</si>
  <si>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</si>
  <si>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</si>
  <si>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</si>
  <si>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</si>
  <si>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</si>
  <si>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</si>
  <si>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</si>
  <si>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</si>
  <si>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</si>
  <si>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</si>
  <si>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</si>
  <si>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</si>
  <si>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</si>
  <si>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</si>
  <si>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</si>
  <si>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</si>
  <si>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</si>
  <si>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</si>
  <si>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</si>
  <si>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</si>
  <si>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</si>
  <si>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</si>
  <si>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</si>
  <si>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</si>
  <si>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</si>
  <si>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</si>
  <si>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</si>
  <si>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</si>
  <si>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</si>
  <si>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</si>
  <si>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</si>
  <si>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</si>
  <si>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</si>
  <si>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</si>
  <si>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</si>
  <si>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</si>
  <si>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</si>
  <si>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</si>
  <si>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</si>
  <si>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</si>
  <si>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</si>
  <si>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</si>
  <si>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</si>
  <si>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</si>
  <si>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</si>
  <si>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</si>
  <si>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</si>
  <si>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</si>
  <si>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</si>
  <si>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</si>
  <si>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</si>
  <si>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</si>
  <si>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</si>
  <si>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</si>
  <si>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</si>
  <si>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</si>
  <si>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</si>
  <si>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</si>
  <si>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</si>
  <si>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</si>
  <si>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</si>
  <si>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</si>
  <si>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</si>
  <si>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</si>
  <si>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</si>
  <si>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</si>
  <si>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</si>
  <si>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</si>
  <si>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</si>
  <si>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</si>
  <si>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</si>
  <si>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</si>
  <si>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</si>
  <si>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</si>
  <si>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</si>
  <si>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</si>
  <si>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</si>
  <si>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</si>
  <si>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</si>
  <si>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</si>
  <si>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</si>
  <si>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</si>
  <si>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</si>
  <si>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</si>
  <si>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</si>
  <si>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</si>
  <si>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</si>
  <si>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</si>
  <si>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</si>
  <si>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</si>
  <si>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</si>
  <si>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</si>
  <si>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</si>
  <si>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</si>
  <si>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</si>
  <si>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</si>
  <si>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</si>
  <si>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</si>
  <si>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</si>
  <si>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</si>
  <si>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</si>
  <si>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</si>
  <si>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</si>
  <si>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</si>
  <si>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</si>
  <si>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</si>
  <si>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</si>
  <si>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</si>
  <si>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</si>
  <si>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</si>
  <si>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</si>
  <si>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</si>
  <si>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</si>
  <si>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</si>
  <si>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</si>
  <si>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</si>
  <si>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</si>
  <si>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</si>
  <si>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</si>
  <si>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</si>
  <si>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</si>
  <si>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</si>
  <si>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</si>
  <si>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</si>
  <si>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</si>
  <si>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</si>
  <si>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</si>
  <si>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</si>
  <si>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</si>
  <si>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</si>
  <si>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</si>
  <si>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</si>
  <si>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</si>
  <si>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</si>
  <si>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</si>
  <si>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</si>
  <si>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</si>
  <si>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</si>
  <si>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</si>
  <si>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</si>
  <si>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</si>
  <si>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</si>
  <si>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</si>
  <si>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</si>
  <si>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</si>
  <si>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</si>
  <si>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</si>
  <si>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</si>
  <si>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</si>
  <si>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</si>
  <si>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</si>
  <si>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</si>
  <si>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</si>
  <si>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</si>
  <si>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</si>
  <si>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</si>
  <si>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</si>
  <si>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</si>
  <si>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</si>
  <si>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</si>
  <si>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</si>
  <si>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</si>
  <si>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</si>
  <si>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</si>
  <si>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</si>
  <si>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</si>
  <si>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</si>
  <si>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</si>
  <si>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</si>
  <si>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</si>
  <si>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</si>
  <si>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</si>
  <si>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</si>
  <si>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</si>
  <si>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</si>
  <si>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</si>
  <si>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</si>
  <si>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</si>
  <si>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</si>
  <si>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</si>
  <si>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</si>
  <si>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</si>
  <si>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</si>
  <si>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</si>
  <si>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</si>
  <si>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</si>
  <si>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</si>
  <si>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</si>
  <si>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</si>
  <si>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</si>
  <si>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</si>
  <si>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</si>
  <si>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</si>
  <si>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</si>
  <si>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</si>
  <si>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</si>
  <si>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</si>
  <si>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</si>
  <si>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</si>
  <si>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</si>
  <si>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</si>
  <si>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</si>
  <si>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</si>
  <si>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</si>
  <si>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</si>
  <si>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</si>
  <si>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</si>
  <si>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</si>
  <si>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</si>
  <si>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</si>
  <si>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</si>
  <si>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</si>
  <si>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</si>
  <si>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</si>
  <si>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</si>
  <si>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</si>
  <si>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</si>
  <si>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</si>
  <si>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</si>
  <si>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</si>
  <si>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</si>
  <si>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</si>
  <si>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</si>
  <si>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</si>
  <si>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</si>
  <si>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</si>
  <si>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</si>
  <si>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</si>
  <si>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</si>
  <si>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</si>
  <si>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</si>
  <si>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</si>
  <si>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</si>
  <si>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</si>
  <si>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</si>
  <si>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</si>
  <si>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</si>
  <si>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</si>
  <si>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</si>
  <si>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</si>
  <si>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</si>
  <si>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</si>
  <si>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</si>
  <si>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</si>
  <si>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</si>
  <si>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</si>
  <si>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</si>
  <si>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</si>
  <si>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</si>
  <si>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</si>
  <si>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</si>
  <si>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</si>
  <si>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</si>
  <si>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</si>
  <si>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</si>
  <si>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</si>
  <si>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</si>
  <si>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</si>
  <si>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</si>
  <si>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</si>
  <si>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</si>
  <si>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</si>
  <si>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</si>
  <si>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</si>
  <si>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</si>
  <si>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</si>
  <si>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</si>
  <si>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</si>
  <si>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</si>
  <si>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</si>
  <si>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</si>
  <si>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</si>
  <si>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</si>
  <si>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</si>
  <si>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</si>
  <si>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</si>
  <si>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</si>
  <si>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</si>
  <si>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</si>
  <si>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</si>
  <si>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</si>
  <si>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</si>
  <si>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</si>
  <si>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</si>
  <si>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</si>
  <si>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</si>
  <si>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</si>
  <si>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</si>
  <si>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</si>
  <si>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</si>
  <si>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</si>
  <si>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</si>
  <si>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</si>
  <si>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</si>
  <si>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</si>
  <si>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</si>
  <si>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</si>
  <si>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</si>
  <si>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</si>
  <si>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</si>
  <si>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</si>
  <si>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</si>
  <si>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</si>
  <si>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</si>
  <si>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</si>
  <si>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</si>
  <si>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</si>
  <si>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</si>
  <si>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</si>
  <si>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</si>
  <si>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</si>
  <si>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</si>
  <si>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</si>
  <si>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</si>
  <si>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</si>
  <si>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</si>
  <si>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</si>
  <si>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</si>
  <si>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</si>
  <si>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</si>
  <si>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</si>
  <si>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</si>
  <si>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</si>
  <si>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</si>
  <si>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</si>
  <si>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</si>
  <si>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</si>
  <si>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</si>
  <si>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</si>
  <si>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</si>
  <si>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</si>
  <si>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</si>
  <si>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</si>
  <si>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</si>
  <si>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</si>
  <si>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</si>
  <si>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</si>
  <si>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</si>
  <si>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</si>
  <si>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</si>
  <si>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</si>
  <si>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</si>
  <si>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</si>
  <si>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</si>
  <si>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</si>
  <si>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</si>
  <si>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</si>
  <si>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</si>
  <si>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</si>
  <si>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</si>
  <si>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</si>
  <si>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</si>
  <si>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</si>
  <si>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</si>
  <si>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</si>
  <si>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</si>
  <si>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</si>
  <si>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</si>
  <si>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</si>
  <si>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</si>
  <si>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</si>
  <si>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</si>
  <si>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</si>
  <si>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</si>
  <si>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</si>
  <si>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</si>
  <si>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</si>
  <si>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</si>
  <si>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</si>
  <si>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</si>
  <si>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</si>
  <si>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</si>
  <si>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</si>
  <si>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</si>
  <si>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</si>
  <si>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</si>
  <si>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</si>
  <si>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</si>
  <si>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</si>
  <si>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</si>
  <si>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</si>
  <si>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</si>
  <si>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</si>
  <si>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</si>
  <si>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</si>
  <si>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</si>
  <si>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</si>
  <si>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</si>
  <si>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</si>
  <si>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</si>
  <si>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</si>
  <si>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</si>
  <si>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</si>
  <si>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</si>
  <si>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</si>
  <si>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</si>
  <si>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</si>
  <si>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</si>
  <si>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</si>
  <si>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</si>
  <si>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</si>
  <si>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</si>
  <si>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</si>
  <si>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</si>
  <si>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</si>
  <si>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</si>
  <si>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</si>
  <si>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</si>
  <si>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</si>
  <si>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</si>
  <si>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</si>
  <si>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</si>
  <si>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</si>
  <si>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</si>
  <si>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</si>
  <si>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</si>
  <si>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</si>
  <si>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</si>
  <si>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</si>
  <si>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</si>
  <si>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</si>
  <si>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</si>
  <si>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</si>
  <si>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</si>
  <si>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</si>
  <si>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</si>
  <si>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</si>
  <si>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</si>
  <si>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</si>
  <si>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</si>
  <si>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</si>
  <si>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</si>
  <si>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Unknown forb</t>
  </si>
  <si>
    <t>Unknown forb 3</t>
  </si>
  <si>
    <t>WWBW Rel</t>
  </si>
  <si>
    <t>WWBW Rel2025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</si>
</sst>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1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5" fillId="0" borderId="10" xfId="0" applyFont="1" applyBorder="1" applyAlignment="1">
      <alignment horizontal="center"/>
    </xf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0" fillId="37" borderId="25" xfId="0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6" t="s">
        <v>57</v>
      </c>
      <c r="B2" s="136"/>
      <c r="C2" s="136"/>
      <c r="D2" s="136"/>
      <c r="E2" s="136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8" t="s">
        <v>4805</v>
      </c>
      <c r="B22" s="138"/>
      <c r="C22" s="138"/>
      <c r="D22" s="138"/>
      <c r="E22" s="138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7" t="s">
        <v>4806</v>
      </c>
      <c r="B24" s="137"/>
      <c r="C24" s="137"/>
      <c r="D24" s="137"/>
      <c r="E24" s="137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7" t="s">
        <v>61</v>
      </c>
      <c r="B39" s="137"/>
      <c r="C39" s="137"/>
      <c r="D39" s="137"/>
      <c r="E39" s="137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7" t="s">
        <v>62</v>
      </c>
      <c r="B45" s="137"/>
      <c r="C45" s="137"/>
      <c r="D45" s="137"/>
      <c r="E45" s="137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2" t="s">
        <v>43</v>
      </c>
      <c r="B93" s="133"/>
      <c r="C93" s="135"/>
      <c r="D93" s="139" t="s">
        <v>44</v>
      </c>
      <c r="E93" s="134"/>
    </row>
    <row r="94" spans="1:5" x14ac:dyDescent="0.2">
      <c r="A94" s="67" t="s">
        <v>23</v>
      </c>
      <c r="B94" s="130" t="s">
        <v>30</v>
      </c>
      <c r="C94" s="131"/>
      <c r="D94" s="3" t="s">
        <v>46</v>
      </c>
      <c r="E94" s="9">
        <v>8</v>
      </c>
    </row>
    <row r="95" spans="1:5" x14ac:dyDescent="0.2">
      <c r="A95" s="67" t="s">
        <v>24</v>
      </c>
      <c r="B95" s="126" t="s">
        <v>31</v>
      </c>
      <c r="C95" s="127"/>
      <c r="D95" s="3" t="s">
        <v>47</v>
      </c>
      <c r="E95" s="9">
        <v>7</v>
      </c>
    </row>
    <row r="96" spans="1:5" x14ac:dyDescent="0.2">
      <c r="A96" s="67" t="s">
        <v>3</v>
      </c>
      <c r="B96" s="126" t="s">
        <v>32</v>
      </c>
      <c r="C96" s="127"/>
      <c r="D96" s="3" t="s">
        <v>48</v>
      </c>
      <c r="E96" s="9">
        <v>6</v>
      </c>
    </row>
    <row r="97" spans="1:5" x14ac:dyDescent="0.2">
      <c r="A97" s="67" t="s">
        <v>25</v>
      </c>
      <c r="B97" s="126" t="s">
        <v>33</v>
      </c>
      <c r="C97" s="127"/>
      <c r="D97" s="3" t="s">
        <v>49</v>
      </c>
      <c r="E97" s="9">
        <v>5</v>
      </c>
    </row>
    <row r="98" spans="1:5" x14ac:dyDescent="0.2">
      <c r="A98" s="67" t="s">
        <v>26</v>
      </c>
      <c r="B98" s="126" t="s">
        <v>34</v>
      </c>
      <c r="C98" s="127"/>
      <c r="D98" s="3" t="s">
        <v>50</v>
      </c>
      <c r="E98" s="9">
        <v>4</v>
      </c>
    </row>
    <row r="99" spans="1:5" x14ac:dyDescent="0.2">
      <c r="A99" s="67" t="s">
        <v>27</v>
      </c>
      <c r="B99" s="126" t="s">
        <v>35</v>
      </c>
      <c r="C99" s="127"/>
      <c r="D99" s="3" t="s">
        <v>4</v>
      </c>
      <c r="E99" s="9">
        <v>3</v>
      </c>
    </row>
    <row r="100" spans="1:5" x14ac:dyDescent="0.2">
      <c r="A100" s="67" t="s">
        <v>2</v>
      </c>
      <c r="B100" s="126" t="s">
        <v>36</v>
      </c>
      <c r="C100" s="127"/>
      <c r="D100" s="3" t="s">
        <v>5</v>
      </c>
      <c r="E100" s="9">
        <v>2</v>
      </c>
    </row>
    <row r="101" spans="1:5" x14ac:dyDescent="0.2">
      <c r="A101" s="67" t="s">
        <v>28</v>
      </c>
      <c r="B101" s="126" t="s">
        <v>37</v>
      </c>
      <c r="C101" s="127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8" t="s">
        <v>38</v>
      </c>
      <c r="C102" s="129"/>
      <c r="D102" s="5"/>
      <c r="E102" s="8"/>
    </row>
    <row r="103" spans="1:5" ht="13.5" thickBot="1" x14ac:dyDescent="0.25">
      <c r="A103" s="132" t="s">
        <v>68</v>
      </c>
      <c r="B103" s="133"/>
      <c r="C103" s="135"/>
      <c r="D103" s="139" t="s">
        <v>45</v>
      </c>
      <c r="E103" s="134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2" t="s">
        <v>21</v>
      </c>
      <c r="B112" s="133"/>
      <c r="C112" s="134"/>
    </row>
    <row r="113" spans="1:3" x14ac:dyDescent="0.2">
      <c r="A113" s="67">
        <v>1</v>
      </c>
      <c r="B113" s="130" t="s">
        <v>40</v>
      </c>
      <c r="C113" s="131"/>
    </row>
    <row r="114" spans="1:3" x14ac:dyDescent="0.2">
      <c r="A114" s="67" t="s">
        <v>39</v>
      </c>
      <c r="B114" s="126" t="s">
        <v>41</v>
      </c>
      <c r="C114" s="127"/>
    </row>
    <row r="115" spans="1:3" x14ac:dyDescent="0.2">
      <c r="A115" s="68" t="s">
        <v>15</v>
      </c>
      <c r="B115" s="124" t="s">
        <v>42</v>
      </c>
      <c r="C115" s="125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6" t="s">
        <v>127</v>
      </c>
      <c r="B1" s="136"/>
      <c r="C1" s="136"/>
      <c r="D1" s="136"/>
      <c r="E1" s="136"/>
      <c r="F1" s="136"/>
      <c r="G1" s="136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D6" sqref="D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150" t="s">
        <v>5465</v>
      </c>
      <c r="C2" s="150" t="s">
        <v>5466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44393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1447</v>
      </c>
      <c r="B10" s="40" t="str">
        <f>IF(LEN(VLOOKUP(A10,'Species List'!$A:$G,2,FALSE))=0,"",VLOOKUP(A10,'Species List'!$A:$G,2,FALSE))</f>
        <v>red-osier dogwood</v>
      </c>
      <c r="C10" s="40">
        <f>IF(LEN(VLOOKUP(A10,'Species List'!$A:$G,3,FALSE))=0,"",VLOOKUP(A10,'Species List'!$A:$G,3,FALSE))</f>
        <v>3</v>
      </c>
      <c r="D10" s="92">
        <f t="shared" ref="D10:D32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[FACW]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34" si="1">VALUE(L10)</f>
        <v>37.5</v>
      </c>
      <c r="N10" s="99">
        <f t="shared" ref="N10:N41" si="2">L10/$L$149</f>
        <v>1</v>
      </c>
      <c r="O10" s="99">
        <f t="shared" ref="O10:O34" si="3">D10*N10</f>
        <v>3</v>
      </c>
    </row>
    <row r="11" spans="1:15" ht="13.5" thickBot="1" x14ac:dyDescent="0.25">
      <c r="A11" s="123"/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 t="e">
        <f t="shared" si="0"/>
        <v>#N/A</v>
      </c>
      <c r="E11" s="40" t="e">
        <f>IF(LEN(VLOOKUP(A11,'Species List'!$A:$G,4,FALSE))=0,"",VLOOKUP(A11,'Species List'!$A:$G,4,FALSE))</f>
        <v>#N/A</v>
      </c>
      <c r="F11" s="40" t="e">
        <f>IF(LEN(VLOOKUP(A11,'Species List'!$A:$G,5,FALSE))=0,"",VLOOKUP(A11,'Species List'!$A:$G,5,FALSE))</f>
        <v>#N/A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/>
      <c r="K11" s="43" t="e">
        <f>VLOOKUP(J11,'Species List'!$H$1:$J$9,2,FALSE)</f>
        <v>#N/A</v>
      </c>
      <c r="L11" s="43" t="e">
        <f>VLOOKUP(K11,'Species List'!$I$1:$N$8,2,FALSE)</f>
        <v>#N/A</v>
      </c>
      <c r="M11" s="93" t="e">
        <f t="shared" si="1"/>
        <v>#N/A</v>
      </c>
      <c r="N11" s="99" t="e">
        <f t="shared" si="2"/>
        <v>#N/A</v>
      </c>
      <c r="O11" s="99" t="e">
        <f t="shared" si="3"/>
        <v>#N/A</v>
      </c>
    </row>
    <row r="12" spans="1:15" ht="13.5" thickBot="1" x14ac:dyDescent="0.25">
      <c r="A12" s="123"/>
      <c r="B12" s="40" t="e">
        <f>IF(LEN(VLOOKUP(A12,'Species List'!$A:$G,2,FALSE))=0,"",VLOOKUP(A12,'Species List'!$A:$G,2,FALSE))</f>
        <v>#N/A</v>
      </c>
      <c r="C12" s="40" t="e">
        <f>IF(LEN(VLOOKUP(A12,'Species List'!$A:$G,3,FALSE))=0,"",VLOOKUP(A12,'Species List'!$A:$G,3,FALSE))</f>
        <v>#N/A</v>
      </c>
      <c r="D12" s="92" t="e">
        <f t="shared" si="0"/>
        <v>#N/A</v>
      </c>
      <c r="E12" s="40" t="e">
        <f>IF(LEN(VLOOKUP(A12,'Species List'!$A:$G,4,FALSE))=0,"",VLOOKUP(A12,'Species List'!$A:$G,4,FALSE))</f>
        <v>#N/A</v>
      </c>
      <c r="F12" s="40" t="e">
        <f>IF(LEN(VLOOKUP(A12,'Species List'!$A:$G,5,FALSE))=0,"",VLOOKUP(A12,'Species List'!$A:$G,5,FALSE))</f>
        <v>#N/A</v>
      </c>
      <c r="G12" s="40" t="e">
        <f>IF(LEN(VLOOKUP(A12,'Species List'!$A:$G,6,FALSE))=0,"",VLOOKUP(A12,'Species List'!$A:$G,6,FALSE))</f>
        <v>#N/A</v>
      </c>
      <c r="H12" s="40" t="e">
        <f>VLOOKUP(A12,'Species List'!$A:$G,7,FALSE)</f>
        <v>#N/A</v>
      </c>
      <c r="J12" s="123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 t="shared" si="1"/>
        <v>#N/A</v>
      </c>
      <c r="N12" s="79" t="e">
        <f t="shared" si="2"/>
        <v>#N/A</v>
      </c>
      <c r="O12" s="79" t="e">
        <f t="shared" si="3"/>
        <v>#N/A</v>
      </c>
    </row>
    <row r="13" spans="1:15" ht="13.5" thickBot="1" x14ac:dyDescent="0.25">
      <c r="A13" s="123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si="0"/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3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79" t="e">
        <f t="shared" si="2"/>
        <v>#N/A</v>
      </c>
      <c r="O13" s="91" t="e">
        <f t="shared" si="3"/>
        <v>#N/A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79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79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79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79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79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79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79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79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79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79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79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79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79" t="e">
        <f t="shared" si="2"/>
        <v>#N/A</v>
      </c>
      <c r="O26" s="91" t="e">
        <f t="shared" si="3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0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79" t="e">
        <f t="shared" si="2"/>
        <v>#N/A</v>
      </c>
      <c r="O27" s="91" t="e">
        <f t="shared" si="3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0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79" t="e">
        <f t="shared" si="2"/>
        <v>#N/A</v>
      </c>
      <c r="O28" s="91" t="e">
        <f t="shared" si="3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0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79" t="e">
        <f t="shared" si="2"/>
        <v>#N/A</v>
      </c>
      <c r="O29" s="91" t="e">
        <f t="shared" si="3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0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79" t="e">
        <f t="shared" si="2"/>
        <v>#N/A</v>
      </c>
      <c r="O30" s="91" t="e">
        <f t="shared" si="3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0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79" t="e">
        <f t="shared" si="2"/>
        <v>#N/A</v>
      </c>
      <c r="O31" s="91" t="e">
        <f t="shared" si="3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0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79" t="e">
        <f t="shared" si="2"/>
        <v>#N/A</v>
      </c>
      <c r="O32" s="91" t="e">
        <f t="shared" si="3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>VALUE(C33)</f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79" t="e">
        <f t="shared" si="2"/>
        <v>#N/A</v>
      </c>
      <c r="O33" s="91" t="e">
        <f t="shared" si="3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>VALUE(C34)</f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79" t="e">
        <f t="shared" si="2"/>
        <v>#N/A</v>
      </c>
      <c r="O34" s="91" t="e">
        <f t="shared" si="3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ref="D35:D74" si="4">VALUE(C35)</f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ref="M35:M74" si="5">VALUE(L35)</f>
        <v>#N/A</v>
      </c>
      <c r="N35" s="79" t="e">
        <f t="shared" si="2"/>
        <v>#N/A</v>
      </c>
      <c r="O35" s="91" t="e">
        <f t="shared" ref="O35:O74" si="6">D35*N35</f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46" t="s">
        <v>4791</v>
      </c>
      <c r="J149" s="147"/>
      <c r="K149" s="148"/>
      <c r="L149" s="57">
        <f>SUMIF(L10:L148,"&gt;=0")</f>
        <v>37.5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34">
    <sortCondition ref="A10:A34"/>
  </sortState>
  <dataConsolidate/>
  <mergeCells count="3">
    <mergeCell ref="A1:O1"/>
    <mergeCell ref="B7:E7"/>
    <mergeCell ref="I149:K14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Q26" sqref="Q26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2064</v>
      </c>
      <c r="B10" s="40" t="str">
        <f>IF(LEN(VLOOKUP(A10,'Species List'!$A:$G,2,FALSE))=0,"",VLOOKUP(A10,'Species List'!$A:$G,2,FALSE))</f>
        <v>spotted Joe pye weed</v>
      </c>
      <c r="C10" s="40">
        <f>IF(LEN(VLOOKUP(A10,'Species List'!$A:$G,3,FALSE))=0,"",VLOOKUP(A10,'Species List'!$A:$G,3,FALSE))</f>
        <v>4</v>
      </c>
      <c r="D10" s="92">
        <f t="shared" ref="D10:D11" si="0">VALUE(C10)</f>
        <v>4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OBL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9.49367088607595E-2</v>
      </c>
      <c r="O10" s="99">
        <f t="shared" ref="O10:O11" si="3">D10*N10</f>
        <v>0.379746835443038</v>
      </c>
    </row>
    <row r="11" spans="1:15" ht="13.5" thickBot="1" x14ac:dyDescent="0.25">
      <c r="A11" s="123" t="s">
        <v>4360</v>
      </c>
      <c r="B11" s="40" t="str">
        <f>IF(LEN(VLOOKUP(A11,'Species List'!$A:$G,2,FALSE))=0,"",VLOOKUP(A11,'Species List'!$A:$G,2,FALSE))</f>
        <v>panicled aster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[FACW]</v>
      </c>
      <c r="H11" s="40">
        <f>VLOOKUP(A11,'Species List'!$A:$G,7,FALSE)</f>
        <v>0</v>
      </c>
      <c r="J11" s="123">
        <v>3</v>
      </c>
      <c r="K11" s="43" t="str">
        <f>VLOOKUP(J11,'Species List'!$H$1:$J$9,2,FALSE)</f>
        <v>&gt;25-50%</v>
      </c>
      <c r="L11" s="43">
        <f>VLOOKUP(K11,'Species List'!$I$1:$N$8,2,FALSE)</f>
        <v>37.5</v>
      </c>
      <c r="M11" s="93">
        <f t="shared" si="1"/>
        <v>37.5</v>
      </c>
      <c r="N11" s="99">
        <f t="shared" si="2"/>
        <v>0.23734177215189872</v>
      </c>
      <c r="O11" s="99">
        <f t="shared" si="3"/>
        <v>1.1867088607594936</v>
      </c>
    </row>
    <row r="12" spans="1:15" ht="13.5" thickBot="1" x14ac:dyDescent="0.25">
      <c r="A12" s="123" t="s">
        <v>1300</v>
      </c>
      <c r="B12" s="40" t="str">
        <f>IF(LEN(VLOOKUP(A12,'Species List'!$A:$G,2,FALSE))=0,"",VLOOKUP(A12,'Species List'!$A:$G,2,FALSE))</f>
        <v>white turtlehead</v>
      </c>
      <c r="C12" s="40">
        <f>IF(LEN(VLOOKUP(A12,'Species List'!$A:$G,3,FALSE))=0,"",VLOOKUP(A12,'Species List'!$A:$G,3,FALSE))</f>
        <v>7</v>
      </c>
      <c r="D12" s="92">
        <f>VALUE(C12)</f>
        <v>7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OBL</v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1.8987341772151899E-2</v>
      </c>
      <c r="O12" s="79">
        <f>D12*N12</f>
        <v>0.13291139240506331</v>
      </c>
    </row>
    <row r="13" spans="1:15" ht="13.5" thickBot="1" x14ac:dyDescent="0.25">
      <c r="A13" s="123" t="s">
        <v>3626</v>
      </c>
      <c r="B13" s="40" t="str">
        <f>IF(LEN(VLOOKUP(A13,'Species List'!$A:$G,2,FALSE))=0,"",VLOOKUP(A13,'Species List'!$A:$G,2,FALSE))</f>
        <v>Virginia mountain mint</v>
      </c>
      <c r="C13" s="40">
        <f>IF(LEN(VLOOKUP(A13,'Species List'!$A:$G,3,FALSE))=0,"",VLOOKUP(A13,'Species List'!$A:$G,3,FALSE))</f>
        <v>6</v>
      </c>
      <c r="D13" s="92">
        <f t="shared" ref="D13:D75" si="4">VALUE(C13)</f>
        <v>6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FACW+</v>
      </c>
      <c r="H13" s="40">
        <f>VLOOKUP(A13,'Species List'!$A:$G,7,FALSE)</f>
        <v>0</v>
      </c>
      <c r="J13" s="123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ref="M13:M75" si="5">VALUE(L13)</f>
        <v>15</v>
      </c>
      <c r="N13" s="91">
        <f t="shared" si="2"/>
        <v>9.49367088607595E-2</v>
      </c>
      <c r="O13" s="91">
        <f t="shared" ref="O13:O75" si="6">D13*N13</f>
        <v>0.569620253164557</v>
      </c>
    </row>
    <row r="14" spans="1:15" ht="13.5" thickBot="1" x14ac:dyDescent="0.25">
      <c r="A14" s="123" t="s">
        <v>4769</v>
      </c>
      <c r="B14" s="40" t="str">
        <f>IF(LEN(VLOOKUP(A14,'Species List'!$A:$G,2,FALSE))=0,"",VLOOKUP(A14,'Species List'!$A:$G,2,FALSE))</f>
        <v>golden alexanders</v>
      </c>
      <c r="C14" s="40">
        <f>IF(LEN(VLOOKUP(A14,'Species List'!$A:$G,3,FALSE))=0,"",VLOOKUP(A14,'Species List'!$A:$G,3,FALSE))</f>
        <v>6</v>
      </c>
      <c r="D14" s="92">
        <f t="shared" si="4"/>
        <v>6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FAC+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1.8987341772151899E-2</v>
      </c>
      <c r="O14" s="91">
        <f t="shared" si="6"/>
        <v>0.11392405063291139</v>
      </c>
    </row>
    <row r="15" spans="1:15" ht="13.5" thickBot="1" x14ac:dyDescent="0.25">
      <c r="A15" s="123" t="s">
        <v>2020</v>
      </c>
      <c r="B15" s="40" t="str">
        <f>IF(LEN(VLOOKUP(A15,'Species List'!$A:$G,2,FALSE))=0,"",VLOOKUP(A15,'Species List'!$A:$G,2,FALSE))</f>
        <v>common boneset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[FACW+]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1.8987341772151899E-2</v>
      </c>
      <c r="O15" s="91">
        <f t="shared" si="6"/>
        <v>7.5949367088607597E-2</v>
      </c>
    </row>
    <row r="16" spans="1:15" ht="13.5" thickBot="1" x14ac:dyDescent="0.25">
      <c r="A16" s="123" t="s">
        <v>3231</v>
      </c>
      <c r="B16" s="40" t="str">
        <f>IF(LEN(VLOOKUP(A16,'Species List'!$A:$G,2,FALSE))=0,"",VLOOKUP(A16,'Species List'!$A:$G,2,FALSE))</f>
        <v>arrow-leaved tearthumb</v>
      </c>
      <c r="C16" s="40">
        <f>IF(LEN(VLOOKUP(A16,'Species List'!$A:$G,3,FALSE))=0,"",VLOOKUP(A16,'Species List'!$A:$G,3,FALSE))</f>
        <v>4</v>
      </c>
      <c r="D16" s="92">
        <f t="shared" si="4"/>
        <v>4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OBL</v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1.8987341772151899E-2</v>
      </c>
      <c r="O16" s="91">
        <f t="shared" si="6"/>
        <v>7.5949367088607597E-2</v>
      </c>
    </row>
    <row r="17" spans="1:15" ht="13.5" thickBot="1" x14ac:dyDescent="0.25">
      <c r="A17" s="123" t="s">
        <v>4168</v>
      </c>
      <c r="B17" s="40" t="str">
        <f>IF(LEN(VLOOKUP(A17,'Species List'!$A:$G,2,FALSE))=0,"",VLOOKUP(A17,'Species List'!$A:$G,2,FALSE))</f>
        <v>giant goldenrod</v>
      </c>
      <c r="C17" s="40">
        <f>IF(LEN(VLOOKUP(A17,'Species List'!$A:$G,3,FALSE))=0,"",VLOOKUP(A17,'Species List'!$A:$G,3,FALSE))</f>
        <v>3</v>
      </c>
      <c r="D17" s="92">
        <f t="shared" si="4"/>
        <v>3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FACW</v>
      </c>
      <c r="H17" s="40">
        <f>VLOOKUP(A17,'Species List'!$A:$G,7,FALSE)</f>
        <v>0</v>
      </c>
      <c r="J17" s="123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1.8987341772151899E-2</v>
      </c>
      <c r="O17" s="91">
        <f t="shared" si="6"/>
        <v>5.6962025316455694E-2</v>
      </c>
    </row>
    <row r="18" spans="1:15" ht="13.5" thickBot="1" x14ac:dyDescent="0.25">
      <c r="A18" s="123" t="s">
        <v>4159</v>
      </c>
      <c r="B18" s="40" t="str">
        <f>IF(LEN(VLOOKUP(A18,'Species List'!$A:$G,2,FALSE))=0,"",VLOOKUP(A18,'Species List'!$A:$G,2,FALSE))</f>
        <v>late goldenrod</v>
      </c>
      <c r="C18" s="40">
        <f>IF(LEN(VLOOKUP(A18,'Species List'!$A:$G,3,FALSE))=0,"",VLOOKUP(A18,'Species List'!$A:$G,3,FALSE))</f>
        <v>1</v>
      </c>
      <c r="D18" s="92">
        <f t="shared" si="4"/>
        <v>1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3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1.8987341772151899E-2</v>
      </c>
      <c r="O18" s="91">
        <f t="shared" si="6"/>
        <v>1.8987341772151899E-2</v>
      </c>
    </row>
    <row r="19" spans="1:15" ht="13.5" thickBot="1" x14ac:dyDescent="0.25">
      <c r="A19" s="123" t="s">
        <v>2180</v>
      </c>
      <c r="B19" s="40" t="str">
        <f>IF(LEN(VLOOKUP(A19,'Species List'!$A:$G,2,FALSE))=0,"",VLOOKUP(A19,'Species List'!$A:$G,2,FALSE))</f>
        <v>bottle gentian</v>
      </c>
      <c r="C19" s="40">
        <f>IF(LEN(VLOOKUP(A19,'Species List'!$A:$G,3,FALSE))=0,"",VLOOKUP(A19,'Species List'!$A:$G,3,FALSE))</f>
        <v>6</v>
      </c>
      <c r="D19" s="92">
        <f t="shared" si="4"/>
        <v>6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FACW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1.8987341772151899E-2</v>
      </c>
      <c r="O19" s="91">
        <f t="shared" si="6"/>
        <v>0.11392405063291139</v>
      </c>
    </row>
    <row r="20" spans="1:15" ht="13.5" thickBot="1" x14ac:dyDescent="0.25">
      <c r="A20" s="123" t="s">
        <v>427</v>
      </c>
      <c r="B20" s="40" t="str">
        <f>IF(LEN(VLOOKUP(A20,'Species List'!$A:$G,2,FALSE))=0,"",VLOOKUP(A20,'Species List'!$A:$G,2,FALSE))</f>
        <v>groundnut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FACW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1.8987341772151899E-2</v>
      </c>
      <c r="O20" s="91">
        <f t="shared" si="6"/>
        <v>7.5949367088607597E-2</v>
      </c>
    </row>
    <row r="21" spans="1:15" ht="13.5" thickBot="1" x14ac:dyDescent="0.25">
      <c r="A21" s="123" t="s">
        <v>4858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1.8987341772151899E-2</v>
      </c>
      <c r="O21" s="91">
        <f t="shared" si="6"/>
        <v>7.5949367088607597E-2</v>
      </c>
    </row>
    <row r="22" spans="1:15" ht="13.5" thickBot="1" x14ac:dyDescent="0.25">
      <c r="A22" s="123" t="s">
        <v>5463</v>
      </c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 t="s">
        <v>4824</v>
      </c>
      <c r="K22" s="43" t="str">
        <f>VLOOKUP(J22,'Species List'!$H$1:$J$9,2,FALSE)</f>
        <v>&gt;0-1%</v>
      </c>
      <c r="L22" s="43">
        <f>VLOOKUP(K22,'Species List'!$I$1:$N$8,2,FALSE)</f>
        <v>0.5</v>
      </c>
      <c r="M22" s="93">
        <f t="shared" si="5"/>
        <v>0.5</v>
      </c>
      <c r="N22" s="91">
        <f t="shared" si="2"/>
        <v>3.1645569620253164E-3</v>
      </c>
      <c r="O22" s="91" t="e">
        <f t="shared" si="6"/>
        <v>#N/A</v>
      </c>
    </row>
    <row r="23" spans="1:15" ht="13.5" thickBot="1" x14ac:dyDescent="0.25">
      <c r="A23" s="123" t="s">
        <v>5329</v>
      </c>
      <c r="B23" s="40" t="str">
        <f>IF(LEN(VLOOKUP(A23,'Species List'!$A:$G,2,FALSE))=0,"",VLOOKUP(A23,'Species List'!$A:$G,2,FALSE))</f>
        <v/>
      </c>
      <c r="C23" s="40" t="str">
        <f>IF(LEN(VLOOKUP(A23,'Species List'!$A:$G,3,FALSE))=0,"",VLOOKUP(A23,'Species List'!$A:$G,3,FALSE))</f>
        <v/>
      </c>
      <c r="D23" s="92" t="e">
        <f t="shared" si="4"/>
        <v>#VALUE!</v>
      </c>
      <c r="E23" s="40" t="str">
        <f>IF(LEN(VLOOKUP(A23,'Species List'!$A:$G,4,FALSE))=0,"",VLOOKUP(A23,'Species List'!$A:$G,4,FALSE))</f>
        <v/>
      </c>
      <c r="F23" s="40" t="str">
        <f>IF(LEN(VLOOKUP(A23,'Species List'!$A:$G,5,FALSE))=0,"",VLOOKUP(A23,'Species List'!$A:$G,5,FALSE))</f>
        <v/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1.8987341772151899E-2</v>
      </c>
      <c r="O23" s="91" t="e">
        <f t="shared" si="6"/>
        <v>#VALUE!</v>
      </c>
    </row>
    <row r="24" spans="1:15" ht="13.5" thickBot="1" x14ac:dyDescent="0.25">
      <c r="A24" s="123" t="s">
        <v>3061</v>
      </c>
      <c r="B24" s="40" t="str">
        <f>IF(LEN(VLOOKUP(A24,'Species List'!$A:$G,2,FALSE))=0,"",VLOOKUP(A24,'Species List'!$A:$G,2,FALSE))</f>
        <v>sensitive fern</v>
      </c>
      <c r="C24" s="40">
        <f>IF(LEN(VLOOKUP(A24,'Species List'!$A:$G,3,FALSE))=0,"",VLOOKUP(A24,'Species List'!$A:$G,3,FALSE))</f>
        <v>4</v>
      </c>
      <c r="D24" s="92">
        <f t="shared" si="4"/>
        <v>4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</v>
      </c>
      <c r="H24" s="40">
        <f>VLOOKUP(A24,'Species List'!$A:$G,7,FALSE)</f>
        <v>0</v>
      </c>
      <c r="J24" s="123">
        <v>2</v>
      </c>
      <c r="K24" s="43" t="str">
        <f>VLOOKUP(J24,'Species List'!$H$1:$J$9,2,FALSE)</f>
        <v>&gt;5-25%</v>
      </c>
      <c r="L24" s="43">
        <f>VLOOKUP(K24,'Species List'!$I$1:$N$8,2,FALSE)</f>
        <v>15</v>
      </c>
      <c r="M24" s="93">
        <f t="shared" si="5"/>
        <v>15</v>
      </c>
      <c r="N24" s="91">
        <f t="shared" si="2"/>
        <v>9.49367088607595E-2</v>
      </c>
      <c r="O24" s="91">
        <f t="shared" si="6"/>
        <v>0.379746835443038</v>
      </c>
    </row>
    <row r="25" spans="1:15" ht="13.5" thickBot="1" x14ac:dyDescent="0.25">
      <c r="A25" s="123" t="s">
        <v>2299</v>
      </c>
      <c r="B25" s="40" t="str">
        <f>IF(LEN(VLOOKUP(A25,'Species List'!$A:$G,2,FALSE))=0,"",VLOOKUP(A25,'Species List'!$A:$G,2,FALSE))</f>
        <v>sawtooth sunflower</v>
      </c>
      <c r="C25" s="40">
        <f>IF(LEN(VLOOKUP(A25,'Species List'!$A:$G,3,FALSE))=0,"",VLOOKUP(A25,'Species List'!$A:$G,3,FALSE))</f>
        <v>3</v>
      </c>
      <c r="D25" s="92">
        <f t="shared" si="4"/>
        <v>3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FACW-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1.8987341772151899E-2</v>
      </c>
      <c r="O25" s="91">
        <f t="shared" si="6"/>
        <v>5.6962025316455694E-2</v>
      </c>
    </row>
    <row r="26" spans="1:15" ht="13.5" thickBot="1" x14ac:dyDescent="0.25">
      <c r="A26" s="123" t="s">
        <v>531</v>
      </c>
      <c r="B26" s="40" t="str">
        <f>IF(LEN(VLOOKUP(A26,'Species List'!$A:$G,2,FALSE))=0,"",VLOOKUP(A26,'Species List'!$A:$G,2,FALSE))</f>
        <v/>
      </c>
      <c r="C26" s="40">
        <f>IF(LEN(VLOOKUP(A26,'Species List'!$A:$G,3,FALSE))=0,"",VLOOKUP(A26,'Species List'!$A:$G,3,FALSE))</f>
        <v>5</v>
      </c>
      <c r="D26" s="92">
        <f t="shared" si="4"/>
        <v>5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OBL</v>
      </c>
      <c r="H26" s="40">
        <f>VLOOKUP(A26,'Species List'!$A:$G,7,FALSE)</f>
        <v>0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3.1645569620253164E-3</v>
      </c>
      <c r="O26" s="91">
        <f t="shared" si="6"/>
        <v>1.5822784810126583E-2</v>
      </c>
    </row>
    <row r="27" spans="1:15" ht="13.5" thickBot="1" x14ac:dyDescent="0.25">
      <c r="A27" s="123" t="s">
        <v>5464</v>
      </c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 t="s">
        <v>4824</v>
      </c>
      <c r="K27" s="43" t="str">
        <f>VLOOKUP(J27,'Species List'!$H$1:$J$9,2,FALSE)</f>
        <v>&gt;0-1%</v>
      </c>
      <c r="L27" s="43">
        <f>VLOOKUP(K27,'Species List'!$I$1:$N$8,2,FALSE)</f>
        <v>0.5</v>
      </c>
      <c r="M27" s="93">
        <f t="shared" si="5"/>
        <v>0.5</v>
      </c>
      <c r="N27" s="91">
        <f t="shared" si="2"/>
        <v>3.1645569620253164E-3</v>
      </c>
      <c r="O27" s="91" t="e">
        <f t="shared" si="6"/>
        <v>#N/A</v>
      </c>
    </row>
    <row r="28" spans="1:15" ht="13.5" thickBot="1" x14ac:dyDescent="0.25">
      <c r="A28" s="123" t="s">
        <v>4420</v>
      </c>
      <c r="B28" s="40" t="str">
        <f>IF(LEN(VLOOKUP(A28,'Species List'!$A:$G,2,FALSE))=0,"",VLOOKUP(A28,'Species List'!$A:$G,2,FALSE))</f>
        <v>germander</v>
      </c>
      <c r="C28" s="40">
        <f>IF(LEN(VLOOKUP(A28,'Species List'!$A:$G,3,FALSE))=0,"",VLOOKUP(A28,'Species List'!$A:$G,3,FALSE))</f>
        <v>4</v>
      </c>
      <c r="D28" s="92">
        <f t="shared" si="4"/>
        <v>4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FACW-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1.8987341772151899E-2</v>
      </c>
      <c r="O28" s="91">
        <f t="shared" si="6"/>
        <v>7.5949367088607597E-2</v>
      </c>
    </row>
    <row r="29" spans="1:15" ht="13.5" thickBot="1" x14ac:dyDescent="0.25">
      <c r="A29" s="123" t="s">
        <v>1903</v>
      </c>
      <c r="B29" s="40" t="str">
        <f>IF(LEN(VLOOKUP(A29,'Species List'!$A:$G,2,FALSE))=0,"",VLOOKUP(A29,'Species List'!$A:$G,2,FALSE))</f>
        <v>field horsetail</v>
      </c>
      <c r="C29" s="40">
        <f>IF(LEN(VLOOKUP(A29,'Species List'!$A:$G,3,FALSE))=0,"",VLOOKUP(A29,'Species List'!$A:$G,3,FALSE))</f>
        <v>1</v>
      </c>
      <c r="D29" s="92">
        <f t="shared" si="4"/>
        <v>1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</v>
      </c>
      <c r="H29" s="40">
        <f>VLOOKUP(A29,'Species List'!$A:$G,7,FALSE)</f>
        <v>0</v>
      </c>
      <c r="J29" s="123">
        <v>3</v>
      </c>
      <c r="K29" s="43" t="str">
        <f>VLOOKUP(J29,'Species List'!$H$1:$J$9,2,FALSE)</f>
        <v>&gt;25-50%</v>
      </c>
      <c r="L29" s="43">
        <f>VLOOKUP(K29,'Species List'!$I$1:$N$8,2,FALSE)</f>
        <v>37.5</v>
      </c>
      <c r="M29" s="93">
        <f t="shared" si="5"/>
        <v>37.5</v>
      </c>
      <c r="N29" s="91">
        <f t="shared" si="2"/>
        <v>0.23734177215189872</v>
      </c>
      <c r="O29" s="91">
        <f t="shared" si="6"/>
        <v>0.23734177215189872</v>
      </c>
    </row>
    <row r="30" spans="1:15" ht="13.5" thickBot="1" x14ac:dyDescent="0.25">
      <c r="A30" s="123" t="s">
        <v>4891</v>
      </c>
      <c r="B30" s="40" t="str">
        <f>IF(LEN(VLOOKUP(A30,'Species List'!$A:$G,2,FALSE))=0,"",VLOOKUP(A30,'Species List'!$A:$G,2,FALSE))</f>
        <v>gregarious black snakeroot</v>
      </c>
      <c r="C30" s="40">
        <f>IF(LEN(VLOOKUP(A30,'Species List'!$A:$G,3,FALSE))=0,"",VLOOKUP(A30,'Species List'!$A:$G,3,FALSE))</f>
        <v>3</v>
      </c>
      <c r="D30" s="92">
        <f t="shared" si="4"/>
        <v>3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[FAC+]</v>
      </c>
      <c r="H30" s="40">
        <f>VLOOKUP(A30,'Species List'!$A:$G,7,FALSE)</f>
        <v>0</v>
      </c>
      <c r="J30" s="123" t="s">
        <v>4824</v>
      </c>
      <c r="K30" s="43" t="str">
        <f>VLOOKUP(J30,'Species List'!$H$1:$J$9,2,FALSE)</f>
        <v>&gt;0-1%</v>
      </c>
      <c r="L30" s="43">
        <f>VLOOKUP(K30,'Species List'!$I$1:$N$8,2,FALSE)</f>
        <v>0.5</v>
      </c>
      <c r="M30" s="93">
        <f t="shared" si="5"/>
        <v>0.5</v>
      </c>
      <c r="N30" s="91">
        <f t="shared" si="2"/>
        <v>3.1645569620253164E-3</v>
      </c>
      <c r="O30" s="91">
        <f t="shared" si="6"/>
        <v>9.4936708860759497E-3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ht="13.5" thickBot="1" x14ac:dyDescent="0.25">
      <c r="A35" s="123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23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ht="13.5" thickBot="1" x14ac:dyDescent="0.25">
      <c r="A36" s="123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23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ht="13.5" thickBot="1" x14ac:dyDescent="0.25">
      <c r="A37" s="123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2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ht="13.5" thickBot="1" x14ac:dyDescent="0.25">
      <c r="A38" s="123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2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ht="13.5" thickBot="1" x14ac:dyDescent="0.25">
      <c r="A39" s="123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2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158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C4" sqref="C4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252</v>
      </c>
      <c r="B10" s="40" t="str">
        <f>IF(LEN(VLOOKUP(A10,'Species List'!$A:$G,2,FALSE))=0,"",VLOOKUP(A10,'Species List'!$A:$G,2,FALSE))</f>
        <v>redtop</v>
      </c>
      <c r="C10" s="40">
        <f>IF(LEN(VLOOKUP(A10,'Species List'!$A:$G,3,FALSE))=0,"",VLOOKUP(A10,'Species List'!$A:$G,3,FALSE))</f>
        <v>0</v>
      </c>
      <c r="D10" s="92">
        <f t="shared" ref="D10:D26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[FACW]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99">
        <f t="shared" ref="N10:N75" si="2">L10/$L$151</f>
        <v>0.32967032967032966</v>
      </c>
      <c r="O10" s="99">
        <f t="shared" ref="O10:O76" si="3">D10*N10</f>
        <v>0</v>
      </c>
    </row>
    <row r="11" spans="1:15" ht="13.5" thickBot="1" x14ac:dyDescent="0.25">
      <c r="A11" s="123" t="s">
        <v>4872</v>
      </c>
      <c r="B11" s="40" t="str">
        <f>IF(LEN(VLOOKUP(A11,'Species List'!$A:$G,2,FALSE))=0,"",VLOOKUP(A11,'Species List'!$A:$G,2,FALSE))</f>
        <v>dark green bulrush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OBL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6.5934065934065936E-2</v>
      </c>
      <c r="O11" s="99">
        <f t="shared" si="3"/>
        <v>0.26373626373626374</v>
      </c>
    </row>
    <row r="12" spans="1:15" ht="13.5" thickBot="1" x14ac:dyDescent="0.25">
      <c r="A12" s="123" t="s">
        <v>2238</v>
      </c>
      <c r="B12" s="40" t="str">
        <f>IF(LEN(VLOOKUP(A12,'Species List'!$A:$G,2,FALSE))=0,"",VLOOKUP(A12,'Species List'!$A:$G,2,FALSE))</f>
        <v>fowl manna grass</v>
      </c>
      <c r="C12" s="40">
        <f>IF(LEN(VLOOKUP(A12,'Species List'!$A:$G,3,FALSE))=0,"",VLOOKUP(A12,'Species List'!$A:$G,3,FALSE))</f>
        <v>4</v>
      </c>
      <c r="D12" s="92">
        <f t="shared" si="0"/>
        <v>4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OBL</v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6.5934065934065936E-2</v>
      </c>
      <c r="O12" s="98">
        <f t="shared" si="3"/>
        <v>0.26373626373626374</v>
      </c>
    </row>
    <row r="13" spans="1:15" ht="13.5" thickBot="1" x14ac:dyDescent="0.25">
      <c r="A13" s="123" t="s">
        <v>4866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6.5934065934065936E-2</v>
      </c>
      <c r="O13" s="91">
        <f t="shared" si="3"/>
        <v>0.19780219780219782</v>
      </c>
    </row>
    <row r="14" spans="1:15" ht="13.5" thickBot="1" x14ac:dyDescent="0.25">
      <c r="A14" s="123" t="s">
        <v>3248</v>
      </c>
      <c r="B14" s="40" t="str">
        <f>IF(LEN(VLOOKUP(A14,'Species List'!$A:$G,2,FALSE))=0,"",VLOOKUP(A14,'Species List'!$A:$G,2,FALSE))</f>
        <v>reed canary grass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FACW+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6.5934065934065936E-2</v>
      </c>
      <c r="O14" s="91">
        <f t="shared" si="3"/>
        <v>0</v>
      </c>
    </row>
    <row r="15" spans="1:15" ht="13.5" thickBot="1" x14ac:dyDescent="0.25">
      <c r="A15" s="123" t="s">
        <v>5461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6.5934065934065936E-2</v>
      </c>
      <c r="O15" s="91">
        <f t="shared" si="3"/>
        <v>0.19780219780219782</v>
      </c>
    </row>
    <row r="16" spans="1:15" ht="13.5" thickBot="1" x14ac:dyDescent="0.25">
      <c r="A16" s="123" t="s">
        <v>5462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6.5934065934065936E-2</v>
      </c>
      <c r="O16" s="91">
        <f t="shared" si="3"/>
        <v>0.19780219780219782</v>
      </c>
    </row>
    <row r="17" spans="1:15" ht="13.5" thickBot="1" x14ac:dyDescent="0.25">
      <c r="A17" s="123" t="s">
        <v>776</v>
      </c>
      <c r="B17" s="40" t="str">
        <f>IF(LEN(VLOOKUP(A17,'Species List'!$A:$G,2,FALSE))=0,"",VLOOKUP(A17,'Species List'!$A:$G,2,FALSE))</f>
        <v>fringed brome</v>
      </c>
      <c r="C17" s="40">
        <f>IF(LEN(VLOOKUP(A17,'Species List'!$A:$G,3,FALSE))=0,"",VLOOKUP(A17,'Species List'!$A:$G,3,FALSE))</f>
        <v>6</v>
      </c>
      <c r="D17" s="92">
        <f t="shared" si="0"/>
        <v>6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[FACW]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6.5934065934065936E-2</v>
      </c>
      <c r="O17" s="91">
        <f t="shared" si="3"/>
        <v>0.39560439560439564</v>
      </c>
    </row>
    <row r="18" spans="1:15" ht="13.5" thickBot="1" x14ac:dyDescent="0.25">
      <c r="A18" s="123" t="s">
        <v>3403</v>
      </c>
      <c r="B18" s="40" t="str">
        <f>IF(LEN(VLOOKUP(A18,'Species List'!$A:$G,2,FALSE))=0,"",VLOOKUP(A18,'Species List'!$A:$G,2,FALSE))</f>
        <v>Kentucky bluegrass</v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3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6.5934065934065936E-2</v>
      </c>
      <c r="O18" s="91">
        <f t="shared" si="3"/>
        <v>0</v>
      </c>
    </row>
    <row r="19" spans="1:15" ht="13.5" thickBot="1" x14ac:dyDescent="0.25">
      <c r="A19" s="123" t="s">
        <v>2490</v>
      </c>
      <c r="B19" s="40" t="str">
        <f>IF(LEN(VLOOKUP(A19,'Species List'!$A:$G,2,FALSE))=0,"",VLOOKUP(A19,'Species List'!$A:$G,2,FALSE))</f>
        <v>Dudley's rush</v>
      </c>
      <c r="C19" s="40">
        <f>IF(LEN(VLOOKUP(A19,'Species List'!$A:$G,3,FALSE))=0,"",VLOOKUP(A19,'Species List'!$A:$G,3,FALSE))</f>
        <v>3</v>
      </c>
      <c r="D19" s="92">
        <f t="shared" si="0"/>
        <v>3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[FAC]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6.5934065934065936E-2</v>
      </c>
      <c r="O19" s="91">
        <f t="shared" si="3"/>
        <v>0.19780219780219782</v>
      </c>
    </row>
    <row r="20" spans="1:15" ht="13.5" thickBot="1" x14ac:dyDescent="0.25">
      <c r="A20" s="123" t="s">
        <v>1108</v>
      </c>
      <c r="B20" s="40" t="str">
        <f>IF(LEN(VLOOKUP(A20,'Species List'!$A:$G,2,FALSE))=0,"",VLOOKUP(A20,'Species List'!$A:$G,2,FALSE))</f>
        <v>woolly sedge</v>
      </c>
      <c r="C20" s="40">
        <f>IF(LEN(VLOOKUP(A20,'Species List'!$A:$G,3,FALSE))=0,"",VLOOKUP(A20,'Species List'!$A:$G,3,FALSE))</f>
        <v>4</v>
      </c>
      <c r="D20" s="92">
        <f t="shared" si="0"/>
        <v>4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[OBL]</v>
      </c>
      <c r="H20" s="40">
        <f>VLOOKUP(A20,'Species List'!$A:$G,7,FALSE)</f>
        <v>0</v>
      </c>
      <c r="J20" s="123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6.5934065934065936E-2</v>
      </c>
      <c r="O20" s="91">
        <f t="shared" si="3"/>
        <v>0.26373626373626374</v>
      </c>
    </row>
    <row r="21" spans="1:15" ht="13.5" thickBot="1" x14ac:dyDescent="0.25">
      <c r="A21" s="123" t="s">
        <v>423</v>
      </c>
      <c r="B21" s="40" t="str">
        <f>IF(LEN(VLOOKUP(A21,'Species List'!$A:$G,2,FALSE))=0,"",VLOOKUP(A21,'Species List'!$A:$G,2,FALSE))</f>
        <v>sweet grass</v>
      </c>
      <c r="C21" s="40">
        <f>IF(LEN(VLOOKUP(A21,'Species List'!$A:$G,3,FALSE))=0,"",VLOOKUP(A21,'Species List'!$A:$G,3,FALSE))</f>
        <v>7</v>
      </c>
      <c r="D21" s="92">
        <f t="shared" si="0"/>
        <v>7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[FACW]</v>
      </c>
      <c r="H21" s="40">
        <f>VLOOKUP(A21,'Species List'!$A:$G,7,FALSE)</f>
        <v>0</v>
      </c>
      <c r="J21" s="123" t="s">
        <v>4824</v>
      </c>
      <c r="K21" s="43" t="str">
        <f>VLOOKUP(J21,'Species List'!$H$1:$J$9,2,FALSE)</f>
        <v>&gt;0-1%</v>
      </c>
      <c r="L21" s="43">
        <f>VLOOKUP(K21,'Species List'!$I$1:$N$8,2,FALSE)</f>
        <v>0.5</v>
      </c>
      <c r="M21" s="93">
        <f t="shared" si="1"/>
        <v>0.5</v>
      </c>
      <c r="N21" s="91">
        <f t="shared" si="2"/>
        <v>1.098901098901099E-2</v>
      </c>
      <c r="O21" s="91">
        <f t="shared" si="3"/>
        <v>7.6923076923076927E-2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45.5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1</v>
      </c>
      <c r="C4" s="95">
        <f>COUNTIF(Forbs!$F$10:$F$147,"Native")</f>
        <v>18</v>
      </c>
      <c r="D4" s="95">
        <f>COUNTIF(Grasses!$F$10:$F$149,"Native")</f>
        <v>9</v>
      </c>
      <c r="E4" s="95">
        <f>AVERAGE(B4:D4)</f>
        <v>9.3333333333333339</v>
      </c>
      <c r="F4" s="95">
        <f>SUM(B4:D4)</f>
        <v>28</v>
      </c>
    </row>
    <row r="5" spans="1:6" ht="18" x14ac:dyDescent="0.25">
      <c r="A5" s="49" t="s">
        <v>4784</v>
      </c>
      <c r="B5" s="95">
        <f>COUNTIF(Woody!$F10:$F197,"Introduced")</f>
        <v>0</v>
      </c>
      <c r="C5" s="95">
        <f>COUNTIF(Forbs!$F10:$F198,"Introduced")</f>
        <v>0</v>
      </c>
      <c r="D5" s="95">
        <f>COUNTIF(Grasses!$F10:$F199,"Introduced")</f>
        <v>3</v>
      </c>
      <c r="E5" s="95">
        <f t="shared" ref="E5:E6" si="0">AVERAGE(B5:D5)</f>
        <v>1</v>
      </c>
      <c r="F5" s="95">
        <f>SUM(B5:D5)</f>
        <v>3</v>
      </c>
    </row>
    <row r="6" spans="1:6" s="75" customFormat="1" ht="21" x14ac:dyDescent="0.35">
      <c r="A6" s="49" t="s">
        <v>4826</v>
      </c>
      <c r="B6" s="95">
        <f>SUM(B4:B5)</f>
        <v>1</v>
      </c>
      <c r="C6" s="95">
        <f>SUM(C4:C5)</f>
        <v>18</v>
      </c>
      <c r="D6" s="95">
        <f>SUM(D4:D5)</f>
        <v>12</v>
      </c>
      <c r="E6" s="95">
        <f t="shared" si="0"/>
        <v>10.333333333333334</v>
      </c>
      <c r="F6" s="95">
        <f>SUM(B6:D6)</f>
        <v>31</v>
      </c>
    </row>
    <row r="7" spans="1:6" ht="18" x14ac:dyDescent="0.25">
      <c r="A7" s="49" t="s">
        <v>4785</v>
      </c>
      <c r="B7" s="95">
        <f>AVERAGEIF(Woody!D10:D148,"&gt;0")</f>
        <v>3</v>
      </c>
      <c r="C7" s="95">
        <f>AVERAGEIF(Forbs!D10:D149,"&gt;0")</f>
        <v>4.1111111111111107</v>
      </c>
      <c r="D7" s="95">
        <f>AVERAGEIF(Grasses!D10:D150,"&gt;0")</f>
        <v>4.1111111111111107</v>
      </c>
      <c r="E7" s="95">
        <f>AVERAGE(B7:D7)</f>
        <v>3.7407407407407405</v>
      </c>
      <c r="F7" s="95">
        <f>(SUMIF(Woody!D10:D148,"&gt;0")+SUMIF(Forbs!D10:D149,"&gt;0")+SUMIF(Grasses!D10:D150,"&gt;0"))/(COUNTIF(Woody!D10:D148,"&gt;0")+COUNTIF(Forbs!D10:D149,"&gt;0")+COUNTIF(Grasses!D10:D150,"&gt;0"))</f>
        <v>4.0714285714285712</v>
      </c>
    </row>
    <row r="8" spans="1:6" s="31" customFormat="1" ht="21" x14ac:dyDescent="0.35">
      <c r="A8" s="49" t="s">
        <v>4827</v>
      </c>
      <c r="B8" s="95">
        <f>AVERAGEIF(Woody!D10:D148,"&gt;=0")</f>
        <v>3</v>
      </c>
      <c r="C8" s="95">
        <f>AVERAGEIF(Forbs!D10:D149,"&gt;=0")</f>
        <v>4.1111111111111107</v>
      </c>
      <c r="D8" s="95">
        <f>AVERAGEIF(Grasses!D10:D150,"&gt;=0")</f>
        <v>3.0833333333333335</v>
      </c>
      <c r="E8" s="95">
        <f>AVERAGE(B8:D8)</f>
        <v>3.3981481481481484</v>
      </c>
      <c r="F8" s="95">
        <f>(SUMIF(Woody!D10:D148,"&gt;=0")+SUMIF(Forbs!D10:D149,"&gt;=0")+SUMIF(Grasses!D10:D150,"&gt;=0"))/(COUNTIF(Woody!D10:D148,"&gt;=0")+COUNTIF(Forbs!D10:D149,"&gt;=0")+COUNTIF(Grasses!D10:D150,"&gt;=0"))</f>
        <v>3.6774193548387095</v>
      </c>
    </row>
    <row r="9" spans="1:6" ht="18" x14ac:dyDescent="0.25">
      <c r="A9" s="49" t="s">
        <v>4778</v>
      </c>
      <c r="B9" s="95">
        <f>SQRT(B4)*B7</f>
        <v>3</v>
      </c>
      <c r="C9" s="95">
        <f>SQRT(C4)*C7</f>
        <v>17.441967269268169</v>
      </c>
      <c r="D9" s="95">
        <f>SQRT(D4)*D7</f>
        <v>12.333333333333332</v>
      </c>
      <c r="E9" s="95">
        <f>SQRT(E4)*E7</f>
        <v>11.42815173309975</v>
      </c>
      <c r="F9" s="95">
        <f>SQRT(F4)*F7</f>
        <v>21.543974961525951</v>
      </c>
    </row>
    <row r="10" spans="1:6" s="76" customFormat="1" ht="21" x14ac:dyDescent="0.35">
      <c r="A10" s="49" t="s">
        <v>4828</v>
      </c>
      <c r="B10" s="95">
        <f>SQRT(B6)*B8</f>
        <v>3</v>
      </c>
      <c r="C10" s="95">
        <f>SQRT(C6)*C8</f>
        <v>17.441967269268169</v>
      </c>
      <c r="D10" s="95">
        <f>SQRT(D6)*D8</f>
        <v>10.680979980008077</v>
      </c>
      <c r="E10" s="95">
        <f>SQRT(E6)*E8</f>
        <v>10.923517991618564</v>
      </c>
      <c r="F10" s="95">
        <f>SQRT(F6)*F8</f>
        <v>20.475004431052337</v>
      </c>
    </row>
    <row r="11" spans="1:6" ht="18" x14ac:dyDescent="0.25">
      <c r="A11" s="49" t="s">
        <v>4786</v>
      </c>
      <c r="B11" s="95">
        <f>SUMIF(Woody!$M$10:$M$148,"&gt;=0")</f>
        <v>37.5</v>
      </c>
      <c r="C11" s="95">
        <f>SUMIF(Forbs!$M$10:$M$150,"&gt;=0")</f>
        <v>158</v>
      </c>
      <c r="D11" s="95">
        <f>SUMIF(Grasses!$M$10:$M$150,"&gt;=0")</f>
        <v>45.5</v>
      </c>
      <c r="E11" s="95">
        <f>AVERAGE(B11:D11)</f>
        <v>80.333333333333329</v>
      </c>
      <c r="F11" s="95">
        <f>SUM(B11:D11)</f>
        <v>241</v>
      </c>
    </row>
    <row r="12" spans="1:6" ht="18" x14ac:dyDescent="0.25">
      <c r="A12" s="49" t="s">
        <v>4792</v>
      </c>
      <c r="B12" s="95">
        <f>SUMIF(Woody!$F$10:$F$148,"Introduced",Woody!$L$10:$L$148)</f>
        <v>0</v>
      </c>
      <c r="C12" s="95">
        <f>SUMIF(Forbs!$F$10:$F$150,"Introduced",Forbs!$L$10:$L$150)</f>
        <v>0</v>
      </c>
      <c r="D12" s="95">
        <f>SUMIF(Grasses!$F$10:$F$150,"Introduced",Grasses!$L$10:$L$150)</f>
        <v>21</v>
      </c>
      <c r="E12" s="95">
        <f>AVERAGE(B12:D12)</f>
        <v>7</v>
      </c>
      <c r="F12" s="95">
        <f>SUM(B12:D12)</f>
        <v>21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0</v>
      </c>
      <c r="D13" s="96">
        <f>D12/D11</f>
        <v>0.46153846153846156</v>
      </c>
      <c r="E13" s="96">
        <f>E12/E11</f>
        <v>8.7136929460580922E-2</v>
      </c>
      <c r="F13" s="96">
        <f>F12/F11</f>
        <v>8.7136929460580909E-2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3</v>
      </c>
      <c r="C15" s="94">
        <f>SUMIF(Forbs!$O$10:$O$149,"&gt;=0")</f>
        <v>3.6518987341772151</v>
      </c>
      <c r="D15" s="94">
        <f>SUMIF(Grasses!$O$10:$O$150,"&gt;=0")</f>
        <v>2.0549450549450547</v>
      </c>
      <c r="E15" s="94">
        <f>AVERAGE(B15:D15)</f>
        <v>2.9022812630407571</v>
      </c>
      <c r="F15" s="95">
        <f>SUM(B15:D15)</f>
        <v>8.7068437891222707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2025-11-24T17:25:35Z</dcterms:modified>
</cp:coreProperties>
</file>