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43B06BC9-5EF3-4725-8975-3C997D9B67EB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6" i="10"/>
  <c r="C17" i="10"/>
  <c r="C18" i="10"/>
  <c r="C19" i="10"/>
  <c r="F14" i="9"/>
  <c r="F15" i="9"/>
  <c r="C13" i="9"/>
  <c r="C14" i="9"/>
  <c r="C15" i="9"/>
  <c r="B12" i="9" l="1"/>
  <c r="D14" i="9"/>
  <c r="C13" i="6" l="1"/>
  <c r="C14" i="6"/>
  <c r="C15" i="6"/>
  <c r="C16" i="6"/>
  <c r="C17" i="6"/>
  <c r="C18" i="6"/>
  <c r="C19" i="6"/>
  <c r="C20" i="6"/>
  <c r="C21" i="10"/>
  <c r="C22" i="10"/>
  <c r="C23" i="10"/>
  <c r="C24" i="10"/>
  <c r="C26" i="10"/>
  <c r="C27" i="10"/>
  <c r="C29" i="10"/>
  <c r="C30" i="10"/>
  <c r="C31" i="10"/>
  <c r="C32" i="10"/>
  <c r="C33" i="10"/>
  <c r="C34" i="10"/>
  <c r="C35" i="10"/>
  <c r="C36" i="10"/>
  <c r="C37" i="10"/>
  <c r="C38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5" i="9"/>
  <c r="C16" i="9"/>
  <c r="C17" i="9"/>
  <c r="C18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18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D16" i="9"/>
  <c r="E16" i="9"/>
  <c r="F16" i="9"/>
  <c r="G16" i="9"/>
  <c r="H16" i="9"/>
  <c r="K16" i="9"/>
  <c r="L16" i="9" s="1"/>
  <c r="M16" i="9" s="1"/>
  <c r="B17" i="9"/>
  <c r="D17" i="9"/>
  <c r="E17" i="9"/>
  <c r="F17" i="9"/>
  <c r="G17" i="9"/>
  <c r="H17" i="9"/>
  <c r="K17" i="9"/>
  <c r="L17" i="9" s="1"/>
  <c r="M17" i="9" s="1"/>
  <c r="B18" i="9"/>
  <c r="E18" i="9"/>
  <c r="F18" i="9"/>
  <c r="G18" i="9"/>
  <c r="H18" i="9"/>
  <c r="K18" i="9"/>
  <c r="L18" i="9" s="1"/>
  <c r="M18" i="9" s="1"/>
  <c r="B19" i="9"/>
  <c r="C19" i="9"/>
  <c r="D19" i="9" s="1"/>
  <c r="E19" i="9"/>
  <c r="F19" i="9"/>
  <c r="G19" i="9"/>
  <c r="H19" i="9"/>
  <c r="K19" i="9"/>
  <c r="L19" i="9" s="1"/>
  <c r="M19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E40" i="10"/>
  <c r="B40" i="10"/>
  <c r="K39" i="10"/>
  <c r="L39" i="10" s="1"/>
  <c r="H39" i="10"/>
  <c r="G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E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27" i="9"/>
  <c r="L127" i="9" s="1"/>
  <c r="M127" i="9" s="1"/>
  <c r="H127" i="9"/>
  <c r="G127" i="9"/>
  <c r="F127" i="9"/>
  <c r="E127" i="9"/>
  <c r="C127" i="9"/>
  <c r="D127" i="9" s="1"/>
  <c r="B127" i="9"/>
  <c r="K126" i="9"/>
  <c r="L126" i="9" s="1"/>
  <c r="M126" i="9" s="1"/>
  <c r="H126" i="9"/>
  <c r="G126" i="9"/>
  <c r="F126" i="9"/>
  <c r="E126" i="9"/>
  <c r="C126" i="9"/>
  <c r="D126" i="9" s="1"/>
  <c r="B126" i="9"/>
  <c r="K125" i="9"/>
  <c r="L125" i="9" s="1"/>
  <c r="M125" i="9" s="1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C124" i="9"/>
  <c r="D124" i="9" s="1"/>
  <c r="B124" i="9"/>
  <c r="K123" i="9"/>
  <c r="L123" i="9" s="1"/>
  <c r="M123" i="9" s="1"/>
  <c r="H123" i="9"/>
  <c r="G123" i="9"/>
  <c r="F123" i="9"/>
  <c r="E123" i="9"/>
  <c r="C123" i="9"/>
  <c r="D123" i="9" s="1"/>
  <c r="B123" i="9"/>
  <c r="K122" i="9"/>
  <c r="L122" i="9" s="1"/>
  <c r="M122" i="9" s="1"/>
  <c r="H122" i="9"/>
  <c r="G122" i="9"/>
  <c r="F122" i="9"/>
  <c r="E122" i="9"/>
  <c r="C122" i="9"/>
  <c r="D122" i="9" s="1"/>
  <c r="B122" i="9"/>
  <c r="K121" i="9"/>
  <c r="L121" i="9" s="1"/>
  <c r="M121" i="9" s="1"/>
  <c r="H121" i="9"/>
  <c r="G121" i="9"/>
  <c r="F121" i="9"/>
  <c r="E121" i="9"/>
  <c r="C121" i="9"/>
  <c r="D121" i="9" s="1"/>
  <c r="B121" i="9"/>
  <c r="K120" i="9"/>
  <c r="L120" i="9" s="1"/>
  <c r="M120" i="9" s="1"/>
  <c r="H120" i="9"/>
  <c r="G120" i="9"/>
  <c r="F120" i="9"/>
  <c r="E120" i="9"/>
  <c r="C120" i="9"/>
  <c r="D120" i="9" s="1"/>
  <c r="B120" i="9"/>
  <c r="K119" i="9"/>
  <c r="L119" i="9" s="1"/>
  <c r="M119" i="9" s="1"/>
  <c r="H119" i="9"/>
  <c r="G119" i="9"/>
  <c r="F119" i="9"/>
  <c r="E119" i="9"/>
  <c r="C119" i="9"/>
  <c r="D119" i="9" s="1"/>
  <c r="B119" i="9"/>
  <c r="K118" i="9"/>
  <c r="L118" i="9" s="1"/>
  <c r="M118" i="9" s="1"/>
  <c r="H118" i="9"/>
  <c r="G118" i="9"/>
  <c r="F118" i="9"/>
  <c r="E118" i="9"/>
  <c r="C118" i="9"/>
  <c r="D118" i="9" s="1"/>
  <c r="B118" i="9"/>
  <c r="K117" i="9"/>
  <c r="L117" i="9" s="1"/>
  <c r="M117" i="9" s="1"/>
  <c r="H117" i="9"/>
  <c r="G117" i="9"/>
  <c r="F117" i="9"/>
  <c r="E117" i="9"/>
  <c r="C117" i="9"/>
  <c r="D117" i="9" s="1"/>
  <c r="B117" i="9"/>
  <c r="K116" i="9"/>
  <c r="L116" i="9" s="1"/>
  <c r="M116" i="9" s="1"/>
  <c r="H116" i="9"/>
  <c r="G116" i="9"/>
  <c r="F116" i="9"/>
  <c r="E116" i="9"/>
  <c r="C116" i="9"/>
  <c r="D116" i="9" s="1"/>
  <c r="B116" i="9"/>
  <c r="K115" i="9"/>
  <c r="L115" i="9" s="1"/>
  <c r="M115" i="9" s="1"/>
  <c r="H115" i="9"/>
  <c r="G115" i="9"/>
  <c r="F115" i="9"/>
  <c r="E115" i="9"/>
  <c r="C115" i="9"/>
  <c r="D115" i="9" s="1"/>
  <c r="B115" i="9"/>
  <c r="K114" i="9"/>
  <c r="L114" i="9" s="1"/>
  <c r="M114" i="9" s="1"/>
  <c r="H114" i="9"/>
  <c r="G114" i="9"/>
  <c r="F114" i="9"/>
  <c r="E114" i="9"/>
  <c r="C114" i="9"/>
  <c r="D114" i="9" s="1"/>
  <c r="B114" i="9"/>
  <c r="K113" i="9"/>
  <c r="L113" i="9" s="1"/>
  <c r="M113" i="9" s="1"/>
  <c r="H113" i="9"/>
  <c r="G113" i="9"/>
  <c r="F113" i="9"/>
  <c r="E113" i="9"/>
  <c r="C113" i="9"/>
  <c r="D113" i="9" s="1"/>
  <c r="B113" i="9"/>
  <c r="K112" i="9"/>
  <c r="L112" i="9" s="1"/>
  <c r="M112" i="9" s="1"/>
  <c r="H112" i="9"/>
  <c r="G112" i="9"/>
  <c r="F112" i="9"/>
  <c r="E112" i="9"/>
  <c r="C112" i="9"/>
  <c r="D112" i="9" s="1"/>
  <c r="B112" i="9"/>
  <c r="K111" i="9"/>
  <c r="L111" i="9" s="1"/>
  <c r="M111" i="9" s="1"/>
  <c r="H111" i="9"/>
  <c r="G111" i="9"/>
  <c r="F111" i="9"/>
  <c r="E111" i="9"/>
  <c r="C111" i="9"/>
  <c r="D111" i="9" s="1"/>
  <c r="B111" i="9"/>
  <c r="K110" i="9"/>
  <c r="L110" i="9" s="1"/>
  <c r="M110" i="9" s="1"/>
  <c r="H110" i="9"/>
  <c r="G110" i="9"/>
  <c r="F110" i="9"/>
  <c r="E110" i="9"/>
  <c r="C110" i="9"/>
  <c r="D110" i="9" s="1"/>
  <c r="B110" i="9"/>
  <c r="K109" i="9"/>
  <c r="L109" i="9" s="1"/>
  <c r="M109" i="9" s="1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C108" i="9"/>
  <c r="D108" i="9" s="1"/>
  <c r="B108" i="9"/>
  <c r="K107" i="9"/>
  <c r="L107" i="9" s="1"/>
  <c r="M107" i="9" s="1"/>
  <c r="H107" i="9"/>
  <c r="G107" i="9"/>
  <c r="F107" i="9"/>
  <c r="E107" i="9"/>
  <c r="C107" i="9"/>
  <c r="D107" i="9" s="1"/>
  <c r="B107" i="9"/>
  <c r="K106" i="9"/>
  <c r="L106" i="9" s="1"/>
  <c r="M106" i="9" s="1"/>
  <c r="H106" i="9"/>
  <c r="G106" i="9"/>
  <c r="F106" i="9"/>
  <c r="E106" i="9"/>
  <c r="C106" i="9"/>
  <c r="D106" i="9" s="1"/>
  <c r="B106" i="9"/>
  <c r="K105" i="9"/>
  <c r="L105" i="9" s="1"/>
  <c r="M105" i="9" s="1"/>
  <c r="H105" i="9"/>
  <c r="G105" i="9"/>
  <c r="F105" i="9"/>
  <c r="E105" i="9"/>
  <c r="C105" i="9"/>
  <c r="D105" i="9" s="1"/>
  <c r="B105" i="9"/>
  <c r="K104" i="9"/>
  <c r="L104" i="9" s="1"/>
  <c r="M104" i="9" s="1"/>
  <c r="H104" i="9"/>
  <c r="G104" i="9"/>
  <c r="F104" i="9"/>
  <c r="E104" i="9"/>
  <c r="C104" i="9"/>
  <c r="D104" i="9" s="1"/>
  <c r="B104" i="9"/>
  <c r="K103" i="9"/>
  <c r="L103" i="9" s="1"/>
  <c r="M103" i="9" s="1"/>
  <c r="H103" i="9"/>
  <c r="G103" i="9"/>
  <c r="F103" i="9"/>
  <c r="E103" i="9"/>
  <c r="C103" i="9"/>
  <c r="D103" i="9" s="1"/>
  <c r="B103" i="9"/>
  <c r="K102" i="9"/>
  <c r="L102" i="9" s="1"/>
  <c r="M102" i="9" s="1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K100" i="9"/>
  <c r="L100" i="9" s="1"/>
  <c r="M100" i="9" s="1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C99" i="9"/>
  <c r="D99" i="9" s="1"/>
  <c r="B99" i="9"/>
  <c r="K98" i="9"/>
  <c r="L98" i="9" s="1"/>
  <c r="M98" i="9" s="1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C97" i="9"/>
  <c r="D97" i="9" s="1"/>
  <c r="B97" i="9"/>
  <c r="K96" i="9"/>
  <c r="L96" i="9" s="1"/>
  <c r="M96" i="9" s="1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C95" i="9"/>
  <c r="D95" i="9" s="1"/>
  <c r="B95" i="9"/>
  <c r="K94" i="9"/>
  <c r="L94" i="9" s="1"/>
  <c r="M94" i="9" s="1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C93" i="9"/>
  <c r="D93" i="9" s="1"/>
  <c r="B93" i="9"/>
  <c r="K92" i="9"/>
  <c r="L92" i="9" s="1"/>
  <c r="M92" i="9" s="1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C91" i="9"/>
  <c r="D91" i="9" s="1"/>
  <c r="B91" i="9"/>
  <c r="K90" i="9"/>
  <c r="L90" i="9" s="1"/>
  <c r="M90" i="9" s="1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C89" i="9"/>
  <c r="D89" i="9" s="1"/>
  <c r="B89" i="9"/>
  <c r="K88" i="9"/>
  <c r="L88" i="9" s="1"/>
  <c r="M88" i="9" s="1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C87" i="9"/>
  <c r="D87" i="9" s="1"/>
  <c r="B87" i="9"/>
  <c r="K86" i="9"/>
  <c r="L86" i="9" s="1"/>
  <c r="M86" i="9" s="1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C85" i="9"/>
  <c r="D85" i="9" s="1"/>
  <c r="B85" i="9"/>
  <c r="K84" i="9"/>
  <c r="L84" i="9" s="1"/>
  <c r="M84" i="9" s="1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C83" i="9"/>
  <c r="D83" i="9" s="1"/>
  <c r="B83" i="9"/>
  <c r="K82" i="9"/>
  <c r="L82" i="9" s="1"/>
  <c r="M82" i="9" s="1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C81" i="9"/>
  <c r="D81" i="9" s="1"/>
  <c r="B81" i="9"/>
  <c r="K80" i="9"/>
  <c r="L80" i="9" s="1"/>
  <c r="M80" i="9" s="1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C79" i="9"/>
  <c r="D79" i="9" s="1"/>
  <c r="B79" i="9"/>
  <c r="K78" i="9"/>
  <c r="L78" i="9" s="1"/>
  <c r="M78" i="9" s="1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C77" i="9"/>
  <c r="D77" i="9" s="1"/>
  <c r="B77" i="9"/>
  <c r="K76" i="9"/>
  <c r="L76" i="9" s="1"/>
  <c r="M76" i="9" s="1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C75" i="9"/>
  <c r="D75" i="9" s="1"/>
  <c r="B75" i="9"/>
  <c r="K74" i="9"/>
  <c r="L74" i="9" s="1"/>
  <c r="M74" i="9" s="1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C73" i="9"/>
  <c r="D73" i="9" s="1"/>
  <c r="B73" i="9"/>
  <c r="K72" i="9"/>
  <c r="L72" i="9" s="1"/>
  <c r="M72" i="9" s="1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C71" i="9"/>
  <c r="D71" i="9" s="1"/>
  <c r="B71" i="9"/>
  <c r="K70" i="9"/>
  <c r="L70" i="9" s="1"/>
  <c r="M70" i="9" s="1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C69" i="9"/>
  <c r="D69" i="9" s="1"/>
  <c r="B69" i="9"/>
  <c r="K68" i="9"/>
  <c r="L68" i="9" s="1"/>
  <c r="M68" i="9" s="1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C67" i="9"/>
  <c r="D67" i="9" s="1"/>
  <c r="B67" i="9"/>
  <c r="K66" i="9"/>
  <c r="L66" i="9" s="1"/>
  <c r="M66" i="9" s="1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C65" i="9"/>
  <c r="D65" i="9" s="1"/>
  <c r="B65" i="9"/>
  <c r="K64" i="9"/>
  <c r="L64" i="9" s="1"/>
  <c r="M64" i="9" s="1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C63" i="9"/>
  <c r="D63" i="9" s="1"/>
  <c r="B63" i="9"/>
  <c r="K62" i="9"/>
  <c r="L62" i="9" s="1"/>
  <c r="M62" i="9" s="1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C61" i="9"/>
  <c r="D61" i="9" s="1"/>
  <c r="B61" i="9"/>
  <c r="K60" i="9"/>
  <c r="L60" i="9" s="1"/>
  <c r="M60" i="9" s="1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C59" i="9"/>
  <c r="D59" i="9" s="1"/>
  <c r="B59" i="9"/>
  <c r="K58" i="9"/>
  <c r="L58" i="9" s="1"/>
  <c r="M58" i="9" s="1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C57" i="9"/>
  <c r="D57" i="9" s="1"/>
  <c r="B57" i="9"/>
  <c r="K56" i="9"/>
  <c r="L56" i="9" s="1"/>
  <c r="M56" i="9" s="1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C55" i="9"/>
  <c r="D55" i="9" s="1"/>
  <c r="B55" i="9"/>
  <c r="K54" i="9"/>
  <c r="L54" i="9" s="1"/>
  <c r="M54" i="9" s="1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C53" i="9"/>
  <c r="D53" i="9" s="1"/>
  <c r="B53" i="9"/>
  <c r="K52" i="9"/>
  <c r="L52" i="9" s="1"/>
  <c r="M52" i="9" s="1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C51" i="9"/>
  <c r="D51" i="9" s="1"/>
  <c r="B51" i="9"/>
  <c r="K50" i="9"/>
  <c r="L50" i="9" s="1"/>
  <c r="M50" i="9" s="1"/>
  <c r="H50" i="9"/>
  <c r="G50" i="9"/>
  <c r="F50" i="9"/>
  <c r="E50" i="9"/>
  <c r="C50" i="9"/>
  <c r="D50" i="9" s="1"/>
  <c r="B50" i="9"/>
  <c r="K49" i="9"/>
  <c r="L49" i="9" s="1"/>
  <c r="M49" i="9" s="1"/>
  <c r="H49" i="9"/>
  <c r="G49" i="9"/>
  <c r="F49" i="9"/>
  <c r="E49" i="9"/>
  <c r="C49" i="9"/>
  <c r="D49" i="9" s="1"/>
  <c r="B49" i="9"/>
  <c r="K48" i="9"/>
  <c r="L48" i="9" s="1"/>
  <c r="M48" i="9" s="1"/>
  <c r="H48" i="9"/>
  <c r="G48" i="9"/>
  <c r="F48" i="9"/>
  <c r="E48" i="9"/>
  <c r="C48" i="9"/>
  <c r="D48" i="9" s="1"/>
  <c r="B48" i="9"/>
  <c r="K47" i="9"/>
  <c r="L47" i="9" s="1"/>
  <c r="M47" i="9" s="1"/>
  <c r="H47" i="9"/>
  <c r="G47" i="9"/>
  <c r="F47" i="9"/>
  <c r="E47" i="9"/>
  <c r="C47" i="9"/>
  <c r="D47" i="9" s="1"/>
  <c r="B47" i="9"/>
  <c r="K46" i="9"/>
  <c r="L46" i="9" s="1"/>
  <c r="M46" i="9" s="1"/>
  <c r="H46" i="9"/>
  <c r="G46" i="9"/>
  <c r="F46" i="9"/>
  <c r="E46" i="9"/>
  <c r="C46" i="9"/>
  <c r="D46" i="9" s="1"/>
  <c r="B46" i="9"/>
  <c r="K45" i="9"/>
  <c r="L45" i="9" s="1"/>
  <c r="M45" i="9" s="1"/>
  <c r="H45" i="9"/>
  <c r="G45" i="9"/>
  <c r="F45" i="9"/>
  <c r="E45" i="9"/>
  <c r="C45" i="9"/>
  <c r="D45" i="9" s="1"/>
  <c r="B45" i="9"/>
  <c r="K44" i="9"/>
  <c r="L44" i="9" s="1"/>
  <c r="M44" i="9" s="1"/>
  <c r="H44" i="9"/>
  <c r="G44" i="9"/>
  <c r="F44" i="9"/>
  <c r="E44" i="9"/>
  <c r="C44" i="9"/>
  <c r="D44" i="9" s="1"/>
  <c r="B44" i="9"/>
  <c r="K43" i="9"/>
  <c r="L43" i="9" s="1"/>
  <c r="M43" i="9" s="1"/>
  <c r="H43" i="9"/>
  <c r="G43" i="9"/>
  <c r="F43" i="9"/>
  <c r="E43" i="9"/>
  <c r="C43" i="9"/>
  <c r="D43" i="9" s="1"/>
  <c r="B43" i="9"/>
  <c r="K42" i="9"/>
  <c r="L42" i="9" s="1"/>
  <c r="M42" i="9" s="1"/>
  <c r="H42" i="9"/>
  <c r="G42" i="9"/>
  <c r="F42" i="9"/>
  <c r="E42" i="9"/>
  <c r="C42" i="9"/>
  <c r="D42" i="9" s="1"/>
  <c r="B42" i="9"/>
  <c r="K41" i="9"/>
  <c r="L41" i="9" s="1"/>
  <c r="M41" i="9" s="1"/>
  <c r="H41" i="9"/>
  <c r="G41" i="9"/>
  <c r="F41" i="9"/>
  <c r="E41" i="9"/>
  <c r="C41" i="9"/>
  <c r="D41" i="9" s="1"/>
  <c r="B41" i="9"/>
  <c r="K40" i="9"/>
  <c r="L40" i="9" s="1"/>
  <c r="M40" i="9" s="1"/>
  <c r="H40" i="9"/>
  <c r="G40" i="9"/>
  <c r="F40" i="9"/>
  <c r="E40" i="9"/>
  <c r="C40" i="9"/>
  <c r="D40" i="9" s="1"/>
  <c r="B40" i="9"/>
  <c r="K39" i="9"/>
  <c r="L39" i="9" s="1"/>
  <c r="M39" i="9" s="1"/>
  <c r="H39" i="9"/>
  <c r="G39" i="9"/>
  <c r="F39" i="9"/>
  <c r="E39" i="9"/>
  <c r="C39" i="9"/>
  <c r="D39" i="9" s="1"/>
  <c r="B39" i="9"/>
  <c r="K38" i="9"/>
  <c r="L38" i="9" s="1"/>
  <c r="M38" i="9" s="1"/>
  <c r="H38" i="9"/>
  <c r="G38" i="9"/>
  <c r="F38" i="9"/>
  <c r="E38" i="9"/>
  <c r="C38" i="9"/>
  <c r="D38" i="9" s="1"/>
  <c r="B38" i="9"/>
  <c r="K37" i="9"/>
  <c r="L37" i="9" s="1"/>
  <c r="M37" i="9" s="1"/>
  <c r="H37" i="9"/>
  <c r="G37" i="9"/>
  <c r="F37" i="9"/>
  <c r="E37" i="9"/>
  <c r="C37" i="9"/>
  <c r="D37" i="9" s="1"/>
  <c r="B37" i="9"/>
  <c r="K36" i="9"/>
  <c r="L36" i="9" s="1"/>
  <c r="M36" i="9" s="1"/>
  <c r="H36" i="9"/>
  <c r="G36" i="9"/>
  <c r="F36" i="9"/>
  <c r="E36" i="9"/>
  <c r="C36" i="9"/>
  <c r="D36" i="9" s="1"/>
  <c r="B36" i="9"/>
  <c r="K35" i="9"/>
  <c r="L35" i="9" s="1"/>
  <c r="M35" i="9" s="1"/>
  <c r="H35" i="9"/>
  <c r="G35" i="9"/>
  <c r="F35" i="9"/>
  <c r="E35" i="9"/>
  <c r="C35" i="9"/>
  <c r="D35" i="9" s="1"/>
  <c r="B35" i="9"/>
  <c r="K34" i="9"/>
  <c r="L34" i="9" s="1"/>
  <c r="M34" i="9" s="1"/>
  <c r="H34" i="9"/>
  <c r="G34" i="9"/>
  <c r="F34" i="9"/>
  <c r="E34" i="9"/>
  <c r="C34" i="9"/>
  <c r="D34" i="9" s="1"/>
  <c r="B34" i="9"/>
  <c r="K33" i="9"/>
  <c r="L33" i="9" s="1"/>
  <c r="M33" i="9" s="1"/>
  <c r="H33" i="9"/>
  <c r="G33" i="9"/>
  <c r="F33" i="9"/>
  <c r="E33" i="9"/>
  <c r="C33" i="9"/>
  <c r="D33" i="9" s="1"/>
  <c r="B33" i="9"/>
  <c r="K32" i="9"/>
  <c r="L32" i="9" s="1"/>
  <c r="M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K29" i="9"/>
  <c r="L29" i="9" s="1"/>
  <c r="M29" i="9" s="1"/>
  <c r="H29" i="9"/>
  <c r="G29" i="9"/>
  <c r="F29" i="9"/>
  <c r="E29" i="9"/>
  <c r="C29" i="9"/>
  <c r="D29" i="9" s="1"/>
  <c r="B29" i="9"/>
  <c r="K28" i="9"/>
  <c r="L28" i="9" s="1"/>
  <c r="M28" i="9" s="1"/>
  <c r="H28" i="9"/>
  <c r="G28" i="9"/>
  <c r="F28" i="9"/>
  <c r="E28" i="9"/>
  <c r="C28" i="9"/>
  <c r="D28" i="9" s="1"/>
  <c r="B28" i="9"/>
  <c r="K27" i="9"/>
  <c r="L27" i="9" s="1"/>
  <c r="M27" i="9" s="1"/>
  <c r="H27" i="9"/>
  <c r="G27" i="9"/>
  <c r="F27" i="9"/>
  <c r="E27" i="9"/>
  <c r="C27" i="9"/>
  <c r="D27" i="9" s="1"/>
  <c r="B27" i="9"/>
  <c r="K26" i="9"/>
  <c r="L26" i="9" s="1"/>
  <c r="M26" i="9" s="1"/>
  <c r="H26" i="9"/>
  <c r="G26" i="9"/>
  <c r="F26" i="9"/>
  <c r="E26" i="9"/>
  <c r="D26" i="9"/>
  <c r="B26" i="9"/>
  <c r="K25" i="9"/>
  <c r="L25" i="9" s="1"/>
  <c r="M25" i="9" s="1"/>
  <c r="H25" i="9"/>
  <c r="G25" i="9"/>
  <c r="F25" i="9"/>
  <c r="E25" i="9"/>
  <c r="C25" i="9"/>
  <c r="D25" i="9" s="1"/>
  <c r="B25" i="9"/>
  <c r="K24" i="9"/>
  <c r="L24" i="9" s="1"/>
  <c r="M24" i="9" s="1"/>
  <c r="H24" i="9"/>
  <c r="G24" i="9"/>
  <c r="F24" i="9"/>
  <c r="E24" i="9"/>
  <c r="C24" i="9"/>
  <c r="D24" i="9" s="1"/>
  <c r="B24" i="9"/>
  <c r="K23" i="9"/>
  <c r="L23" i="9" s="1"/>
  <c r="M23" i="9" s="1"/>
  <c r="H23" i="9"/>
  <c r="G23" i="9"/>
  <c r="E23" i="9"/>
  <c r="D23" i="9"/>
  <c r="B23" i="9"/>
  <c r="K22" i="9"/>
  <c r="L22" i="9" s="1"/>
  <c r="M22" i="9" s="1"/>
  <c r="H22" i="9"/>
  <c r="G22" i="9"/>
  <c r="E22" i="9"/>
  <c r="D22" i="9"/>
  <c r="B22" i="9"/>
  <c r="K21" i="9"/>
  <c r="L21" i="9" s="1"/>
  <c r="M21" i="9" s="1"/>
  <c r="H21" i="9"/>
  <c r="G21" i="9"/>
  <c r="F21" i="9"/>
  <c r="E21" i="9"/>
  <c r="C21" i="9"/>
  <c r="D21" i="9" s="1"/>
  <c r="B21" i="9"/>
  <c r="K20" i="9"/>
  <c r="L20" i="9" s="1"/>
  <c r="M20" i="9" s="1"/>
  <c r="H20" i="9"/>
  <c r="G20" i="9"/>
  <c r="F20" i="9"/>
  <c r="E20" i="9"/>
  <c r="C20" i="9"/>
  <c r="D20" i="9" s="1"/>
  <c r="B20" i="9"/>
  <c r="B11" i="7" l="1"/>
  <c r="B4" i="7"/>
  <c r="B12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28" i="9"/>
  <c r="B13" i="7" l="1"/>
  <c r="B9" i="7"/>
  <c r="B6" i="7"/>
  <c r="B10" i="7" s="1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13" i="9"/>
  <c r="O13" i="9" s="1"/>
  <c r="N19" i="9"/>
  <c r="O19" i="9" s="1"/>
  <c r="N15" i="9"/>
  <c r="O15" i="9" s="1"/>
  <c r="N18" i="9"/>
  <c r="O18" i="9" s="1"/>
  <c r="N14" i="9"/>
  <c r="O14" i="9" s="1"/>
  <c r="N16" i="9"/>
  <c r="O16" i="9" s="1"/>
  <c r="N17" i="9"/>
  <c r="O17" i="9" s="1"/>
  <c r="N12" i="9"/>
  <c r="O12" i="9" s="1"/>
  <c r="N43" i="9"/>
  <c r="O43" i="9" s="1"/>
  <c r="N120" i="9"/>
  <c r="O120" i="9" s="1"/>
  <c r="N97" i="9"/>
  <c r="O97" i="9" s="1"/>
  <c r="N125" i="9"/>
  <c r="O125" i="9" s="1"/>
  <c r="N86" i="9"/>
  <c r="O86" i="9" s="1"/>
  <c r="N32" i="9"/>
  <c r="O32" i="9" s="1"/>
  <c r="N109" i="9"/>
  <c r="O109" i="9" s="1"/>
  <c r="N121" i="9"/>
  <c r="O121" i="9" s="1"/>
  <c r="N79" i="9"/>
  <c r="O79" i="9" s="1"/>
  <c r="N123" i="9"/>
  <c r="O123" i="9" s="1"/>
  <c r="N82" i="9"/>
  <c r="O82" i="9" s="1"/>
  <c r="N105" i="9"/>
  <c r="O105" i="9" s="1"/>
  <c r="N52" i="9"/>
  <c r="O52" i="9" s="1"/>
  <c r="N44" i="9"/>
  <c r="O44" i="9" s="1"/>
  <c r="N101" i="9"/>
  <c r="O101" i="9" s="1"/>
  <c r="N56" i="9"/>
  <c r="O56" i="9" s="1"/>
  <c r="N59" i="9"/>
  <c r="O59" i="9" s="1"/>
  <c r="N93" i="9"/>
  <c r="O93" i="9" s="1"/>
  <c r="N126" i="9"/>
  <c r="O126" i="9" s="1"/>
  <c r="N98" i="9"/>
  <c r="O98" i="9" s="1"/>
  <c r="N68" i="9"/>
  <c r="O68" i="9" s="1"/>
  <c r="N113" i="9"/>
  <c r="O113" i="9" s="1"/>
  <c r="N48" i="9"/>
  <c r="O48" i="9" s="1"/>
  <c r="N39" i="9"/>
  <c r="O39" i="9" s="1"/>
  <c r="N84" i="9"/>
  <c r="O84" i="9" s="1"/>
  <c r="N117" i="9"/>
  <c r="O117" i="9" s="1"/>
  <c r="N42" i="9"/>
  <c r="O42" i="9" s="1"/>
  <c r="N34" i="9"/>
  <c r="O34" i="9" s="1"/>
  <c r="N127" i="9"/>
  <c r="O127" i="9" s="1"/>
  <c r="N75" i="9"/>
  <c r="O75" i="9" s="1"/>
  <c r="N88" i="9"/>
  <c r="O88" i="9" s="1"/>
  <c r="N100" i="9"/>
  <c r="O100" i="9" s="1"/>
  <c r="N58" i="9"/>
  <c r="O58" i="9" s="1"/>
  <c r="N28" i="9"/>
  <c r="O28" i="9" s="1"/>
  <c r="N71" i="9"/>
  <c r="O71" i="9" s="1"/>
  <c r="N72" i="9"/>
  <c r="O72" i="9" s="1"/>
  <c r="N90" i="9"/>
  <c r="O90" i="9" s="1"/>
  <c r="N110" i="9"/>
  <c r="O110" i="9" s="1"/>
  <c r="N64" i="9"/>
  <c r="O64" i="9" s="1"/>
  <c r="N76" i="9"/>
  <c r="O76" i="9" s="1"/>
  <c r="N47" i="9"/>
  <c r="O47" i="9" s="1"/>
  <c r="N38" i="9"/>
  <c r="O38" i="9" s="1"/>
  <c r="N106" i="9"/>
  <c r="O106" i="9" s="1"/>
  <c r="N54" i="9"/>
  <c r="O54" i="9" s="1"/>
  <c r="N66" i="9"/>
  <c r="O66" i="9" s="1"/>
  <c r="N89" i="9"/>
  <c r="O89" i="9" s="1"/>
  <c r="N112" i="9"/>
  <c r="O112" i="9" s="1"/>
  <c r="N36" i="9"/>
  <c r="O36" i="9" s="1"/>
  <c r="N27" i="9"/>
  <c r="O27" i="9" s="1"/>
  <c r="N124" i="9"/>
  <c r="O124" i="9" s="1"/>
  <c r="N50" i="9"/>
  <c r="O50" i="9" s="1"/>
  <c r="N51" i="9"/>
  <c r="O51" i="9" s="1"/>
  <c r="N96" i="9"/>
  <c r="O96" i="9" s="1"/>
  <c r="N22" i="9"/>
  <c r="O22" i="9" s="1"/>
  <c r="N67" i="9"/>
  <c r="O67" i="9" s="1"/>
  <c r="N116" i="9"/>
  <c r="O116" i="9" s="1"/>
  <c r="N74" i="9"/>
  <c r="O74" i="9" s="1"/>
  <c r="N24" i="9"/>
  <c r="O24" i="9" s="1"/>
  <c r="N35" i="9"/>
  <c r="O35" i="9" s="1"/>
  <c r="N118" i="9"/>
  <c r="O118" i="9" s="1"/>
  <c r="N92" i="9"/>
  <c r="O92" i="9" s="1"/>
  <c r="N20" i="9"/>
  <c r="O20" i="9" s="1"/>
  <c r="N108" i="9"/>
  <c r="O108" i="9" s="1"/>
  <c r="N55" i="9"/>
  <c r="O55" i="9" s="1"/>
  <c r="N78" i="9"/>
  <c r="O78" i="9" s="1"/>
  <c r="N26" i="9"/>
  <c r="O26" i="9" s="1"/>
  <c r="N80" i="9"/>
  <c r="O80" i="9" s="1"/>
  <c r="N114" i="9"/>
  <c r="O114" i="9" s="1"/>
  <c r="N40" i="9"/>
  <c r="O40" i="9" s="1"/>
  <c r="N85" i="9"/>
  <c r="O85" i="9" s="1"/>
  <c r="N104" i="9"/>
  <c r="O104" i="9" s="1"/>
  <c r="N60" i="9"/>
  <c r="O60" i="9" s="1"/>
  <c r="N30" i="9"/>
  <c r="O30" i="9" s="1"/>
  <c r="N31" i="9"/>
  <c r="O31" i="9" s="1"/>
  <c r="N46" i="9"/>
  <c r="O46" i="9" s="1"/>
  <c r="N122" i="9"/>
  <c r="O122" i="9" s="1"/>
  <c r="N102" i="9"/>
  <c r="O102" i="9" s="1"/>
  <c r="N70" i="9"/>
  <c r="O70" i="9" s="1"/>
  <c r="N94" i="9"/>
  <c r="O94" i="9" s="1"/>
  <c r="N62" i="9"/>
  <c r="O62" i="9" s="1"/>
  <c r="N63" i="9"/>
  <c r="O63" i="9" s="1"/>
  <c r="N119" i="9"/>
  <c r="O119" i="9" s="1"/>
  <c r="N115" i="9"/>
  <c r="O115" i="9" s="1"/>
  <c r="N111" i="9"/>
  <c r="O111" i="9" s="1"/>
  <c r="N107" i="9"/>
  <c r="O107" i="9" s="1"/>
  <c r="N103" i="9"/>
  <c r="O103" i="9" s="1"/>
  <c r="N99" i="9"/>
  <c r="O99" i="9" s="1"/>
  <c r="N95" i="9"/>
  <c r="O95" i="9" s="1"/>
  <c r="N91" i="9"/>
  <c r="O91" i="9" s="1"/>
  <c r="N87" i="9"/>
  <c r="O87" i="9" s="1"/>
  <c r="N83" i="9"/>
  <c r="O83" i="9" s="1"/>
  <c r="N81" i="9"/>
  <c r="O81" i="9" s="1"/>
  <c r="N77" i="9"/>
  <c r="O77" i="9" s="1"/>
  <c r="N73" i="9"/>
  <c r="O73" i="9" s="1"/>
  <c r="N69" i="9"/>
  <c r="O69" i="9" s="1"/>
  <c r="N65" i="9"/>
  <c r="O65" i="9" s="1"/>
  <c r="N61" i="9"/>
  <c r="O61" i="9" s="1"/>
  <c r="N57" i="9"/>
  <c r="O57" i="9" s="1"/>
  <c r="N53" i="9"/>
  <c r="O53" i="9" s="1"/>
  <c r="N49" i="9"/>
  <c r="O49" i="9" s="1"/>
  <c r="N45" i="9"/>
  <c r="O45" i="9" s="1"/>
  <c r="N41" i="9"/>
  <c r="O41" i="9" s="1"/>
  <c r="N37" i="9"/>
  <c r="O37" i="9" s="1"/>
  <c r="N33" i="9"/>
  <c r="O33" i="9" s="1"/>
  <c r="N29" i="9"/>
  <c r="O29" i="9" s="1"/>
  <c r="N25" i="9"/>
  <c r="O25" i="9" s="1"/>
  <c r="N23" i="9"/>
  <c r="O23" i="9" s="1"/>
  <c r="N21" i="9"/>
  <c r="O21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C15" i="7" l="1"/>
  <c r="D7" i="7"/>
  <c r="E7" i="7" s="1"/>
  <c r="D8" i="7"/>
  <c r="E8" i="7" s="1"/>
  <c r="F8" i="7"/>
  <c r="F7" i="7"/>
  <c r="D5" i="7"/>
  <c r="E5" i="7" s="1"/>
  <c r="D4" i="7"/>
  <c r="C10" i="7"/>
  <c r="B15" i="7"/>
  <c r="K15" i="6"/>
  <c r="L15" i="6" s="1"/>
  <c r="K16" i="6"/>
  <c r="L16" i="6" s="1"/>
  <c r="K17" i="6"/>
  <c r="L17" i="6" s="1"/>
  <c r="K18" i="6"/>
  <c r="L18" i="6" s="1"/>
  <c r="D12" i="7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D11" i="7" l="1"/>
  <c r="E11" i="7" s="1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F11" i="7" l="1"/>
  <c r="F13" i="7" s="1"/>
  <c r="D15" i="7"/>
  <c r="E15" i="7" l="1"/>
  <c r="F15" i="7"/>
  <c r="F10" i="7"/>
  <c r="F9" i="7"/>
</calcChain>
</file>

<file path=xl/sharedStrings.xml><?xml version="1.0" encoding="utf-8"?>
<sst xmlns="http://schemas.openxmlformats.org/spreadsheetml/2006/main" count="13157" uniqueCount="5449">
  <si>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</si>
  <si>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</si>
  <si>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</si>
  <si>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</si>
  <si>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</si>
  <si>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</si>
  <si>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</si>
  <si>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</si>
  <si>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</si>
  <si>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</si>
  <si>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</si>
  <si>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</si>
  <si>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</si>
  <si>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</si>
  <si>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</si>
  <si>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</si>
  <si>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</si>
  <si>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</si>
  <si>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</si>
  <si>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</si>
  <si>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</si>
  <si>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</si>
  <si>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</si>
  <si>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</si>
  <si>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</si>
  <si>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</si>
  <si>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</si>
  <si>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</si>
  <si>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</si>
  <si>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</si>
  <si>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</si>
  <si>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</si>
  <si>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</si>
  <si>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</si>
  <si>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</si>
  <si>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</si>
  <si>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</si>
  <si>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</si>
  <si>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</si>
  <si>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</si>
  <si>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</si>
  <si>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</si>
  <si>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</si>
  <si>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</si>
  <si>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</si>
  <si>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</si>
  <si>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</si>
  <si>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</si>
  <si>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</si>
  <si>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</si>
  <si>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</si>
  <si>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</si>
  <si>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</si>
  <si>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</si>
  <si>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</si>
  <si>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</si>
  <si>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</si>
  <si>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</si>
  <si>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</si>
  <si>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</si>
  <si>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</si>
  <si>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</si>
  <si>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</si>
  <si>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</si>
  <si>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</si>
  <si>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</si>
  <si>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</si>
  <si>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</si>
  <si>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</si>
  <si>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</si>
  <si>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</si>
  <si>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</si>
  <si>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</si>
  <si>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</si>
  <si>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</si>
  <si>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</si>
  <si>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</si>
  <si>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</si>
  <si>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</si>
  <si>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</si>
  <si>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</si>
  <si>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</si>
  <si>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</si>
  <si>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</si>
  <si>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</si>
  <si>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</si>
  <si>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</si>
  <si>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</si>
  <si>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</si>
  <si>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</si>
  <si>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</si>
  <si>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</si>
  <si>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</si>
  <si>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</si>
  <si>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</si>
  <si>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</si>
  <si>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</si>
  <si>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</si>
  <si>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</si>
  <si>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</si>
  <si>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</si>
  <si>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</si>
  <si>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</si>
  <si>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</si>
  <si>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</si>
  <si>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</si>
  <si>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</si>
  <si>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</si>
  <si>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</si>
  <si>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</si>
  <si>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</si>
  <si>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</si>
  <si>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</si>
  <si>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</si>
  <si>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</si>
  <si>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</si>
  <si>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</si>
  <si>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</si>
  <si>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</si>
  <si>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</si>
  <si>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</si>
  <si>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</si>
  <si>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</si>
  <si>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</si>
  <si>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</si>
  <si>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</si>
  <si>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</si>
  <si>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</si>
  <si>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</si>
  <si>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</si>
  <si>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</si>
  <si>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</si>
  <si>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</si>
  <si>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</si>
  <si>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</si>
  <si>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</si>
  <si>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</si>
  <si>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</si>
  <si>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</si>
  <si>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</si>
  <si>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</si>
  <si>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</si>
  <si>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</si>
  <si>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</si>
  <si>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</si>
  <si>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</si>
  <si>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</si>
  <si>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</si>
  <si>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</si>
  <si>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</si>
  <si>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</si>
  <si>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</si>
  <si>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</si>
  <si>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</si>
  <si>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</si>
  <si>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</si>
  <si>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</si>
  <si>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</si>
  <si>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</si>
  <si>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</si>
  <si>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</si>
  <si>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</si>
  <si>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</si>
  <si>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</si>
  <si>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</si>
  <si>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</si>
  <si>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</si>
  <si>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</si>
  <si>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</si>
  <si>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</si>
  <si>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</si>
  <si>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</si>
  <si>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</si>
  <si>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</si>
  <si>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</si>
  <si>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</si>
  <si>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</si>
  <si>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</si>
  <si>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</si>
  <si>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</si>
  <si>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</si>
  <si>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</si>
  <si>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</si>
  <si>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</si>
  <si>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</si>
  <si>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</si>
  <si>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</si>
  <si>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</si>
  <si>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</si>
  <si>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</si>
  <si>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</si>
  <si>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</si>
  <si>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</si>
  <si>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</si>
  <si>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</si>
  <si>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</si>
  <si>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</si>
  <si>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</si>
  <si>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</si>
  <si>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</si>
  <si>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</si>
  <si>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</si>
  <si>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</si>
  <si>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</si>
  <si>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</si>
  <si>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</si>
  <si>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</si>
  <si>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</si>
  <si>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</si>
  <si>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</si>
  <si>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</si>
  <si>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</si>
  <si>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</si>
  <si>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</si>
  <si>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</si>
  <si>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</si>
  <si>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</si>
  <si>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</si>
  <si>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</si>
  <si>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</si>
  <si>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</si>
  <si>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</si>
  <si>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</si>
  <si>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</si>
  <si>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</si>
  <si>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</si>
  <si>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</si>
  <si>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</si>
  <si>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</si>
  <si>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</si>
  <si>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</si>
  <si>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</si>
  <si>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</si>
  <si>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</si>
  <si>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</si>
  <si>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</si>
  <si>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</si>
  <si>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</si>
  <si>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</si>
  <si>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</si>
  <si>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</si>
  <si>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</si>
  <si>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</si>
  <si>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</si>
  <si>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</si>
  <si>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</si>
  <si>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</si>
  <si>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</si>
  <si>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</si>
  <si>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</si>
  <si>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</si>
  <si>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</si>
  <si>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</si>
  <si>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</si>
  <si>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</si>
  <si>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</si>
  <si>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</si>
  <si>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</si>
  <si>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</si>
  <si>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</si>
  <si>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</si>
  <si>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</si>
  <si>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</si>
  <si>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</si>
  <si>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</si>
  <si>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</si>
  <si>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</si>
  <si>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</si>
  <si>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</si>
  <si>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</si>
  <si>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</si>
  <si>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</si>
  <si>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</si>
  <si>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</si>
  <si>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</si>
  <si>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</si>
  <si>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</si>
  <si>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</si>
  <si>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</si>
  <si>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</si>
  <si>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</si>
  <si>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</si>
  <si>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</si>
  <si>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</si>
  <si>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</si>
  <si>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</si>
  <si>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</si>
  <si>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</si>
  <si>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</si>
  <si>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</si>
  <si>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</si>
  <si>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</si>
  <si>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</si>
  <si>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</si>
  <si>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</si>
  <si>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</si>
  <si>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</si>
  <si>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</si>
  <si>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</si>
  <si>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</si>
  <si>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</si>
  <si>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</si>
  <si>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</si>
  <si>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</si>
  <si>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</si>
  <si>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</si>
  <si>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</si>
  <si>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</si>
  <si>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</si>
  <si>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</si>
  <si>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</si>
  <si>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</si>
  <si>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</si>
  <si>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</si>
  <si>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</si>
  <si>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</si>
  <si>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</si>
  <si>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</si>
  <si>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</si>
  <si>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</si>
  <si>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</si>
  <si>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</si>
  <si>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</si>
  <si>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</si>
  <si>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</si>
  <si>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</si>
  <si>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</si>
  <si>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</si>
  <si>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</si>
  <si>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</si>
  <si>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</si>
  <si>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</si>
  <si>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</si>
  <si>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</si>
  <si>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</si>
  <si>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</si>
  <si>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</si>
  <si>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</si>
  <si>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</si>
  <si>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</si>
  <si>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</si>
  <si>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</si>
  <si>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</si>
  <si>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</si>
  <si>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</si>
  <si>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</si>
  <si>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</si>
  <si>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</si>
  <si>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</si>
  <si>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</si>
  <si>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</si>
  <si>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</si>
  <si>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</si>
  <si>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</si>
  <si>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</si>
  <si>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</si>
  <si>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</si>
  <si>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</si>
  <si>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</si>
  <si>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</si>
  <si>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</si>
  <si>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</si>
  <si>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</si>
  <si>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</si>
  <si>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</si>
  <si>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</si>
  <si>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</si>
  <si>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</si>
  <si>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</si>
  <si>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</si>
  <si>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</si>
  <si>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</si>
  <si>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</si>
  <si>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</si>
  <si>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</si>
  <si>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</si>
  <si>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</si>
  <si>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</si>
  <si>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</si>
  <si>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</si>
  <si>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</si>
  <si>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</si>
  <si>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</si>
  <si>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</si>
  <si>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</si>
  <si>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</si>
  <si>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</si>
  <si>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</si>
  <si>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</si>
  <si>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</si>
  <si>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</si>
  <si>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</si>
  <si>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</si>
  <si>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</si>
  <si>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</si>
  <si>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</si>
  <si>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</si>
  <si>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</si>
  <si>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</si>
  <si>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</si>
  <si>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</si>
  <si>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</si>
  <si>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</si>
  <si>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</si>
  <si>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</si>
  <si>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</si>
  <si>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</si>
  <si>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</si>
  <si>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</si>
  <si>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</si>
  <si>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</si>
  <si>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</si>
  <si>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</si>
  <si>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</si>
  <si>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</si>
  <si>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</si>
  <si>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</si>
  <si>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</si>
  <si>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</si>
  <si>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</si>
  <si>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</si>
  <si>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</si>
  <si>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</si>
  <si>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</si>
  <si>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</si>
  <si>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</si>
  <si>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</si>
  <si>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</si>
  <si>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</si>
  <si>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</si>
  <si>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</si>
  <si>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</si>
  <si>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</si>
  <si>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</si>
  <si>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</si>
  <si>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</si>
  <si>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</si>
  <si>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</si>
  <si>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</si>
  <si>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</si>
  <si>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</si>
  <si>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</si>
  <si>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</si>
  <si>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</si>
  <si>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</si>
  <si>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</si>
  <si>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</si>
  <si>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</si>
  <si>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</si>
  <si>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</si>
  <si>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</si>
  <si>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</si>
  <si>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</si>
  <si>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</si>
  <si>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</si>
  <si>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</si>
  <si>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</si>
  <si>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</si>
  <si>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</si>
  <si>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</si>
  <si>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</si>
  <si>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</si>
  <si>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</si>
  <si>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</si>
  <si>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</si>
  <si>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</si>
  <si>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</si>
  <si>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</si>
  <si>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</si>
  <si>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</si>
  <si>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</si>
  <si>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</si>
  <si>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</si>
  <si>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</si>
  <si>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</si>
  <si>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</si>
  <si>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</si>
  <si>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</si>
  <si>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</si>
  <si>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</si>
  <si>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</si>
  <si>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</si>
  <si>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</si>
  <si>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</si>
  <si>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</si>
  <si>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</si>
  <si>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</si>
  <si>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</si>
  <si>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</si>
  <si>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</si>
  <si>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</si>
  <si>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</si>
  <si>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</si>
  <si>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</si>
  <si>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</si>
  <si>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</si>
  <si>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</si>
  <si>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</si>
  <si>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</si>
  <si>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</si>
  <si>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</si>
  <si>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</si>
  <si>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</si>
  <si>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</si>
  <si>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</si>
  <si>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</si>
  <si>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</si>
  <si>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</si>
  <si>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</si>
  <si>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</si>
  <si>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</si>
  <si>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</si>
  <si>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</si>
  <si>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</si>
  <si>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</si>
  <si>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</si>
  <si>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</si>
  <si>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</si>
  <si>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</si>
  <si>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</si>
  <si>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</si>
  <si>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</si>
  <si>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</si>
  <si>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</si>
  <si>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</si>
  <si>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</si>
  <si>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</si>
  <si>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</si>
  <si>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</si>
  <si>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</si>
  <si>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</si>
  <si>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</si>
  <si>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</si>
  <si>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</si>
  <si>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</si>
  <si>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</si>
  <si>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</si>
  <si>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</si>
  <si>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</si>
  <si>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</si>
  <si>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</si>
  <si>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</si>
  <si>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</si>
  <si>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</si>
  <si>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</si>
  <si>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</si>
  <si>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</si>
  <si>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</si>
  <si>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</si>
  <si>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</si>
  <si>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</si>
  <si>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</si>
  <si>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</si>
  <si>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</si>
  <si>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</si>
  <si>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</si>
  <si>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</si>
  <si>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</si>
  <si>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</si>
  <si>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</si>
  <si>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</si>
  <si>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</si>
  <si>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</si>
  <si>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</si>
  <si>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</si>
  <si>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</si>
  <si>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</si>
  <si>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</si>
  <si>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</si>
  <si>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</si>
  <si>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</si>
  <si>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</si>
  <si>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</si>
  <si>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</si>
  <si>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</si>
  <si>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</si>
  <si>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</si>
  <si>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</si>
  <si>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</si>
  <si>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</si>
  <si>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</si>
  <si>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</si>
  <si>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</si>
  <si>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</si>
  <si>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</si>
  <si>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</si>
  <si>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</si>
  <si>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</si>
  <si>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</si>
  <si>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</si>
  <si>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</si>
  <si>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</si>
  <si>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</si>
  <si>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</si>
  <si>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</si>
  <si>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</si>
  <si>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</si>
  <si>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</si>
  <si>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</si>
  <si>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</si>
  <si>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</si>
  <si>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</si>
  <si>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</si>
  <si>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</si>
  <si>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</si>
  <si>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</si>
  <si>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</si>
  <si>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</si>
  <si>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</si>
  <si>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</si>
  <si>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</si>
  <si>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</si>
  <si>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</si>
  <si>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</si>
  <si>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</si>
  <si>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</si>
  <si>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</si>
  <si>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</si>
  <si>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</si>
  <si>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</si>
  <si>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</si>
  <si>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</si>
  <si>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</si>
  <si>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</si>
  <si>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</si>
  <si>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</si>
  <si>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</si>
  <si>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</si>
  <si>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</si>
  <si>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</si>
  <si>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</si>
  <si>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</si>
  <si>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</si>
  <si>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</si>
  <si>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</si>
  <si>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</si>
  <si>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</si>
  <si>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</si>
  <si>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</si>
  <si>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</si>
  <si>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</si>
  <si>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</si>
  <si>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</si>
  <si>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</si>
  <si>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</si>
  <si>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</si>
  <si>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</si>
  <si>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</si>
  <si>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</si>
  <si>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</si>
  <si>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</si>
  <si>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</si>
  <si>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</si>
  <si>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</si>
  <si>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</si>
  <si>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</si>
  <si>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</si>
  <si>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</si>
  <si>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</si>
  <si>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</si>
  <si>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</si>
  <si>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</si>
  <si>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</si>
  <si>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</si>
  <si>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</si>
  <si>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</si>
  <si>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</si>
  <si>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</si>
  <si>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</si>
  <si>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</si>
  <si>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</si>
  <si>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</si>
  <si>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</si>
  <si>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</si>
  <si>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</si>
  <si>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</si>
  <si>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</si>
  <si>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</si>
  <si>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</si>
  <si>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</si>
  <si>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</si>
  <si>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</si>
  <si>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</si>
  <si>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</si>
  <si>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</si>
  <si>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</si>
  <si>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</si>
  <si>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</si>
  <si>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</si>
  <si>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</si>
  <si>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</si>
  <si>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</si>
  <si>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</si>
  <si>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</si>
  <si>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</si>
  <si>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</si>
  <si>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</si>
  <si>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</si>
  <si>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</si>
  <si>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</si>
  <si>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</si>
  <si>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</si>
  <si>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</si>
  <si>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</si>
  <si>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</si>
  <si>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</si>
  <si>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</si>
  <si>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</si>
  <si>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</si>
  <si>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</si>
  <si>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</si>
  <si>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</si>
  <si>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</si>
  <si>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</si>
  <si>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</si>
  <si>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</si>
  <si>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</si>
  <si>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</si>
  <si>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</si>
  <si>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</si>
  <si>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</si>
  <si>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</si>
  <si>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</si>
  <si>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</si>
  <si>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</si>
  <si>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</si>
  <si>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</si>
  <si>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</si>
  <si>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</si>
  <si>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</si>
  <si>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</si>
  <si>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</si>
  <si>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</si>
  <si>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</si>
  <si>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</si>
  <si>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</si>
  <si>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</si>
  <si>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</si>
  <si>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</si>
  <si>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</si>
  <si>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</si>
  <si>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</si>
  <si>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</si>
  <si>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</si>
  <si>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</si>
  <si>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</si>
  <si>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</si>
  <si>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</si>
  <si>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</si>
  <si>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</si>
  <si>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</si>
  <si>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</si>
  <si>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</si>
  <si>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</si>
  <si>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</si>
  <si>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</si>
  <si>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</si>
  <si>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</si>
  <si>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</si>
  <si>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</si>
  <si>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</si>
  <si>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</si>
  <si>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</si>
  <si>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</si>
  <si>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</si>
  <si>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</si>
  <si>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</si>
  <si>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</si>
  <si>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</si>
  <si>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</si>
  <si>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</si>
  <si>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</si>
  <si>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</si>
  <si>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</si>
  <si>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</si>
  <si>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</si>
  <si>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</si>
  <si>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</si>
  <si>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</si>
  <si>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</si>
  <si>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</si>
  <si>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</si>
  <si>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</si>
  <si>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</si>
  <si>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</si>
  <si>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</si>
  <si>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</si>
  <si>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</si>
  <si>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</si>
  <si>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</si>
  <si>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</si>
  <si>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</si>
  <si>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</si>
  <si>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</si>
  <si>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</si>
  <si>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</si>
  <si>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</si>
  <si>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</si>
  <si>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</si>
  <si>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</si>
  <si>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</si>
  <si>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</si>
  <si>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</si>
  <si>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</si>
  <si>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</si>
  <si>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</si>
  <si>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</si>
  <si>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</si>
  <si>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</si>
  <si>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</si>
  <si>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</si>
  <si>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</si>
  <si>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</si>
  <si>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</si>
  <si>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</si>
  <si>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</si>
  <si>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</si>
  <si>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</si>
  <si>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</si>
  <si>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</si>
  <si>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</si>
  <si>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</si>
  <si>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</si>
  <si>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</si>
  <si>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</si>
  <si>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</si>
  <si>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</si>
  <si>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</si>
  <si>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</si>
  <si>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</si>
  <si>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</si>
  <si>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</si>
  <si>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</si>
  <si>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</si>
  <si>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</si>
  <si>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</si>
  <si>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</si>
  <si>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</si>
  <si>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</si>
  <si>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</si>
  <si>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</si>
  <si>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</si>
  <si>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</si>
  <si>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</si>
  <si>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</si>
  <si>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</si>
  <si>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</si>
  <si>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</si>
  <si>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</si>
  <si>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</si>
  <si>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</si>
  <si>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</si>
  <si>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</si>
  <si>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</si>
  <si>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</si>
  <si>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</si>
  <si>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</si>
  <si>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</si>
  <si>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</si>
  <si>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</si>
  <si>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</si>
  <si>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</si>
  <si>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</si>
  <si>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</si>
  <si>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</si>
  <si>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</si>
  <si>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</si>
  <si>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</si>
  <si>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</si>
  <si>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</si>
  <si>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</si>
  <si>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</si>
  <si>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</si>
  <si>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</si>
  <si>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</si>
  <si>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</si>
  <si>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</si>
  <si>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</si>
  <si>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</si>
  <si>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</si>
  <si>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</si>
  <si>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</si>
  <si>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</si>
  <si>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</si>
  <si>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</si>
  <si>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</si>
  <si>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</si>
  <si>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</si>
  <si>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</si>
  <si>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</si>
  <si>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</si>
  <si>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</si>
  <si>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</si>
  <si>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</si>
  <si>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</si>
  <si>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</si>
  <si>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</si>
  <si>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</si>
  <si>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</si>
  <si>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</si>
  <si>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</si>
  <si>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</si>
  <si>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</si>
  <si>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</si>
  <si>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</si>
  <si>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</si>
  <si>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</si>
  <si>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</si>
  <si>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</si>
  <si>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</si>
  <si>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</si>
  <si>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</si>
  <si>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</si>
  <si>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</si>
  <si>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</si>
  <si>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</si>
  <si>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</si>
  <si>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</si>
  <si>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</si>
  <si>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</si>
  <si>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</si>
  <si>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</si>
  <si>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</si>
  <si>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</si>
  <si>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</si>
  <si>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</si>
  <si>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</si>
  <si>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</si>
  <si>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</si>
  <si>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</si>
  <si>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</si>
  <si>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</si>
  <si>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</si>
  <si>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</si>
  <si>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</si>
  <si>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</si>
  <si>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</si>
  <si>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</si>
  <si>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</si>
  <si>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</si>
  <si>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</si>
  <si>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</si>
  <si>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</si>
  <si>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</si>
  <si>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</si>
  <si>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</si>
  <si>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</si>
  <si>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</si>
  <si>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</si>
  <si>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</si>
  <si>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</si>
  <si>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</si>
  <si>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</si>
  <si>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</si>
  <si>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</si>
  <si>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</si>
  <si>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</si>
  <si>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</si>
  <si>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</si>
  <si>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</si>
  <si>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</si>
  <si>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</si>
  <si>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</si>
  <si>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</si>
  <si>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</si>
  <si>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</si>
  <si>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</si>
  <si>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</si>
  <si>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</si>
  <si>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</si>
  <si>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</si>
  <si>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</si>
  <si>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</si>
  <si>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</si>
  <si>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</si>
  <si>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</si>
  <si>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</si>
  <si>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</si>
  <si>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</si>
  <si>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</si>
  <si>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</si>
  <si>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</si>
  <si>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</si>
  <si>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</si>
  <si>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</si>
  <si>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</si>
  <si>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</si>
  <si>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</si>
  <si>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</si>
  <si>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</si>
  <si>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</si>
  <si>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</si>
  <si>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</si>
  <si>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</si>
  <si>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</si>
  <si>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</si>
  <si>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</si>
  <si>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</si>
  <si>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</si>
  <si>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</si>
  <si>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</si>
  <si>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</si>
  <si>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</si>
  <si>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</si>
  <si>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</si>
  <si>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</si>
  <si>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</si>
  <si>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</si>
  <si>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</si>
  <si>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</si>
  <si>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</si>
  <si>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</si>
  <si>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</si>
  <si>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</si>
  <si>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</si>
  <si>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</si>
  <si>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</si>
  <si>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</si>
  <si>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</si>
  <si>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</si>
  <si>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</si>
  <si>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</si>
  <si>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</si>
  <si>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</si>
  <si>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</si>
  <si>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</si>
  <si>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</si>
  <si>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</si>
  <si>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</si>
  <si>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</si>
  <si>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</si>
  <si>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</si>
  <si>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</si>
  <si>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</si>
  <si>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</si>
  <si>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</si>
  <si>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</si>
  <si>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</si>
  <si>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</si>
  <si>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</si>
  <si>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</si>
  <si>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</si>
  <si>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</si>
  <si>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</si>
  <si>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</si>
  <si>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</si>
  <si>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</si>
  <si>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</si>
  <si>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</si>
  <si>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</si>
  <si>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</si>
  <si>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</si>
  <si>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</si>
  <si>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</si>
  <si>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</si>
  <si>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</si>
  <si>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</si>
  <si>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</si>
  <si>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</si>
  <si>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</si>
  <si>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</si>
  <si>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</si>
  <si>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</si>
  <si>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</si>
  <si>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</si>
  <si>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</si>
  <si>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</si>
  <si>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</si>
  <si>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</si>
  <si>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</si>
  <si>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</si>
  <si>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</si>
  <si>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</si>
  <si>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</si>
  <si>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</si>
  <si>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</si>
  <si>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</si>
  <si>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</si>
  <si>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</si>
  <si>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</si>
  <si>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</si>
  <si>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</si>
  <si>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</si>
  <si>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</si>
  <si>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</si>
  <si>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</si>
  <si>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</si>
  <si>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</si>
  <si>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</si>
  <si>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</si>
  <si>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</si>
  <si>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</si>
  <si>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</si>
  <si>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</si>
  <si>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</si>
  <si>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</si>
  <si>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</si>
  <si>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</si>
  <si>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</si>
  <si>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</si>
  <si>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</si>
  <si>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</si>
  <si>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</si>
  <si>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</si>
  <si>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</si>
  <si>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</si>
  <si>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</si>
  <si>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</si>
  <si>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</si>
  <si>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</si>
  <si>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</si>
  <si>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</si>
  <si>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</si>
  <si>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</si>
  <si>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</si>
  <si>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</si>
  <si>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</si>
  <si>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</si>
  <si>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</si>
  <si>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</si>
  <si>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</si>
  <si>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</si>
  <si>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</si>
  <si>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</si>
  <si>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</si>
  <si>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</si>
  <si>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</si>
  <si>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</si>
  <si>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</si>
  <si>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</si>
  <si>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</si>
  <si>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</si>
  <si>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</si>
  <si>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</si>
  <si>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</si>
  <si>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</si>
  <si>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</si>
  <si>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</si>
  <si>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</si>
  <si>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</si>
  <si>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</si>
  <si>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</si>
  <si>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</si>
  <si>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</si>
  <si>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</si>
  <si>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</si>
  <si>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</si>
  <si>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</si>
  <si>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</si>
  <si>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</si>
  <si>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</si>
  <si>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</si>
  <si>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</si>
  <si>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</si>
  <si>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</si>
  <si>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</si>
  <si>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</si>
  <si>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</si>
  <si>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</si>
  <si>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</si>
  <si>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</si>
  <si>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</si>
  <si>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</si>
  <si>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</si>
  <si>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</si>
  <si>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</si>
  <si>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</si>
  <si>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</si>
  <si>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</si>
  <si>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</si>
  <si>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</si>
  <si>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</si>
  <si>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</si>
  <si>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</si>
  <si>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</si>
  <si>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</si>
  <si>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</si>
  <si>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</si>
  <si>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</si>
  <si>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</si>
  <si>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</si>
  <si>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</si>
  <si>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</si>
  <si>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</si>
  <si>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</si>
  <si>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</si>
  <si>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</si>
  <si>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</si>
  <si>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</si>
  <si>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</si>
  <si>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</si>
  <si>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</si>
  <si>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</si>
  <si>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</si>
  <si>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</si>
  <si>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</si>
  <si>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</si>
  <si>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</si>
  <si>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</si>
  <si>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</si>
  <si>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</si>
  <si>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</si>
  <si>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</si>
  <si>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</si>
  <si>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</si>
  <si>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</si>
  <si>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</si>
  <si>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</si>
  <si>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</si>
  <si>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</si>
  <si>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</si>
  <si>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</si>
  <si>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</si>
  <si>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</si>
  <si>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</si>
  <si>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</si>
  <si>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</si>
  <si>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</si>
  <si>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</si>
  <si>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</si>
  <si>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</si>
  <si>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</si>
  <si>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</si>
  <si>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</si>
  <si>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</si>
  <si>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</si>
  <si>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</si>
  <si>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</si>
  <si>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</si>
  <si>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</si>
  <si>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</si>
  <si>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</si>
  <si>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</si>
  <si>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</si>
  <si>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</si>
  <si>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</si>
  <si>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</si>
  <si>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</si>
  <si>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</si>
  <si>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</si>
  <si>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</si>
  <si>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</si>
  <si>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</si>
  <si>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</si>
  <si>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</si>
  <si>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</si>
  <si>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</si>
  <si>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</si>
  <si>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</si>
  <si>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</si>
  <si>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</si>
  <si>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</si>
  <si>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</si>
  <si>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</si>
  <si>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</si>
  <si>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</si>
  <si>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</si>
  <si>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</si>
  <si>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</si>
  <si>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</si>
  <si>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</si>
  <si>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</si>
  <si>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</si>
  <si>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</si>
  <si>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</si>
  <si>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</si>
  <si>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</si>
  <si>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</si>
  <si>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</si>
  <si>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</si>
  <si>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</si>
  <si>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</si>
  <si>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</si>
  <si>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</si>
  <si>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</si>
  <si>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</si>
  <si>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</si>
  <si>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</si>
  <si>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</si>
  <si>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</si>
  <si>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</si>
  <si>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</si>
  <si>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</si>
  <si>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</si>
  <si>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</si>
  <si>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</si>
  <si>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</si>
  <si>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</si>
  <si>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</si>
  <si>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</si>
  <si>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</si>
  <si>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</si>
  <si>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</si>
  <si>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</si>
  <si>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</si>
  <si>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</si>
  <si>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</si>
  <si>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</si>
  <si>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</si>
  <si>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</si>
  <si>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</si>
  <si>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</si>
  <si>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</si>
  <si>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</si>
  <si>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</si>
  <si>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</si>
  <si>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</si>
  <si>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</si>
  <si>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</si>
  <si>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</si>
  <si>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</si>
  <si>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</si>
  <si>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</si>
  <si>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</si>
  <si>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</si>
  <si>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</si>
  <si>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</si>
  <si>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</si>
  <si>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</si>
  <si>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</si>
  <si>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</si>
  <si>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</si>
  <si>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</si>
  <si>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</si>
  <si>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</si>
  <si>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</si>
  <si>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</si>
  <si>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</si>
  <si>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</si>
  <si>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</si>
  <si>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</si>
  <si>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</si>
  <si>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</si>
  <si>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</si>
  <si>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</si>
  <si>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</si>
  <si>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</si>
  <si>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</si>
  <si>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</si>
  <si>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</si>
  <si>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</si>
  <si>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</si>
  <si>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</si>
  <si>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</si>
  <si>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</si>
  <si>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</si>
  <si>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</si>
  <si>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</si>
  <si>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</si>
  <si>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</si>
  <si>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</si>
  <si>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</si>
  <si>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</si>
  <si>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</si>
  <si>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</si>
  <si>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</si>
  <si>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</si>
  <si>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</si>
  <si>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</si>
  <si>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</si>
  <si>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</si>
  <si>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</si>
  <si>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</si>
  <si>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</si>
  <si>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</si>
  <si>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</si>
  <si>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</si>
  <si>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</si>
  <si>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</si>
  <si>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</si>
  <si>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</si>
  <si>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</si>
  <si>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</si>
  <si>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</si>
  <si>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</si>
  <si>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</si>
  <si>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</si>
  <si>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</si>
  <si>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</si>
  <si>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</si>
  <si>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</si>
  <si>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</si>
  <si>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</si>
  <si>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</si>
  <si>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</si>
  <si>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</si>
  <si>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</si>
  <si>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</si>
  <si>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</si>
  <si>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</si>
  <si>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</si>
  <si>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</si>
  <si>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</si>
  <si>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</si>
  <si>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</si>
  <si>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</si>
  <si>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</si>
  <si>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</si>
  <si>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</si>
  <si>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</si>
  <si>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</si>
  <si>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</si>
  <si>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</si>
  <si>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</si>
  <si>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</si>
  <si>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</si>
  <si>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</si>
  <si>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</si>
  <si>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</si>
  <si>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</si>
  <si>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</si>
  <si>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</si>
  <si>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</si>
  <si>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</si>
  <si>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</si>
  <si>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</si>
  <si>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</si>
  <si>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</si>
  <si>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</si>
  <si>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</si>
  <si>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</si>
  <si>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</si>
  <si>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</si>
  <si>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</si>
  <si>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</si>
  <si>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</si>
  <si>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</si>
  <si>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</si>
  <si>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</si>
  <si>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</si>
  <si>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</si>
  <si>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</si>
  <si>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</si>
  <si>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</si>
  <si>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</si>
  <si>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</si>
  <si>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</si>
  <si>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</si>
  <si>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</si>
  <si>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</si>
  <si>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</si>
  <si>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</si>
  <si>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</si>
  <si>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</si>
  <si>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</si>
  <si>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</si>
  <si>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</si>
  <si>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</si>
  <si>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</si>
  <si>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</si>
  <si>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</si>
  <si>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</si>
  <si>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</si>
  <si>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</si>
  <si>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</si>
  <si>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</si>
  <si>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</si>
  <si>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</si>
  <si>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</si>
  <si>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</si>
  <si>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</si>
  <si>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</si>
  <si>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</si>
  <si>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</si>
  <si>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</si>
  <si>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</si>
  <si>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</si>
  <si>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</si>
  <si>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</si>
  <si>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</si>
  <si>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</si>
  <si>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</si>
  <si>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</si>
  <si>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</si>
  <si>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</si>
  <si>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</si>
  <si>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</si>
  <si>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</si>
  <si>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</si>
  <si>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</si>
  <si>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</si>
  <si>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</si>
  <si>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</si>
  <si>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</si>
  <si>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</si>
  <si>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</si>
  <si>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</si>
  <si>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</si>
  <si>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</si>
  <si>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</si>
  <si>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</si>
  <si>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</si>
  <si>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</si>
  <si>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</si>
  <si>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</si>
  <si>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</si>
  <si>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</si>
  <si>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</si>
  <si>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</si>
  <si>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</si>
  <si>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</si>
  <si>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</si>
  <si>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</si>
  <si>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</si>
  <si>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</si>
  <si>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</si>
  <si>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</si>
  <si>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</si>
  <si>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</si>
  <si>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</si>
  <si>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</si>
  <si>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</si>
  <si>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</si>
  <si>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</si>
  <si>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</si>
  <si>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</si>
  <si>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</si>
  <si>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</si>
  <si>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</si>
  <si>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</si>
  <si>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</si>
  <si>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</si>
  <si>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</si>
  <si>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</si>
  <si>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</si>
  <si>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</si>
  <si>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</si>
  <si>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</si>
  <si>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</si>
  <si>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</si>
  <si>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</si>
  <si>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</si>
  <si>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</si>
  <si>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</si>
  <si>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</si>
  <si>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</si>
  <si>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</si>
  <si>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</si>
  <si>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</si>
  <si>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</si>
  <si>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</si>
  <si>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</si>
  <si>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</si>
  <si>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</si>
  <si>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</si>
  <si>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</si>
  <si>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</si>
  <si>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</si>
  <si>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</si>
  <si>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</si>
  <si>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</si>
  <si>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</si>
  <si>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</si>
  <si>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</si>
  <si>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</si>
  <si>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</si>
  <si>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</si>
  <si>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</si>
  <si>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</si>
  <si>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</si>
  <si>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</si>
  <si>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</si>
  <si>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</si>
  <si>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</si>
  <si>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</si>
  <si>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</si>
  <si>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</si>
  <si>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</si>
  <si>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</si>
  <si>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</si>
  <si>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</si>
  <si>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</si>
  <si>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</si>
  <si>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</si>
  <si>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</si>
  <si>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</si>
  <si>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</si>
  <si>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</si>
  <si>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</si>
  <si>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</si>
  <si>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</si>
  <si>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</si>
  <si>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</si>
  <si>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</si>
  <si>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</si>
  <si>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</si>
  <si>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</si>
  <si>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</si>
  <si>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</si>
  <si>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</si>
  <si>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</si>
  <si>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</si>
  <si>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</si>
  <si>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</si>
  <si>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</si>
  <si>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</si>
  <si>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</si>
  <si>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</si>
  <si>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</si>
  <si>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</si>
  <si>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</si>
  <si>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</si>
  <si>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</si>
  <si>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</si>
  <si>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</si>
  <si>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</si>
  <si>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</si>
  <si>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</si>
  <si>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</si>
  <si>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</si>
  <si>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</si>
  <si>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</si>
  <si>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</si>
  <si>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</si>
  <si>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</si>
  <si>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</si>
  <si>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</si>
  <si>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</si>
  <si>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</si>
  <si>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</si>
  <si>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</si>
  <si>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</si>
  <si>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</si>
  <si>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</si>
  <si>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</si>
  <si>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</si>
  <si>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</si>
  <si>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</si>
  <si>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</si>
  <si>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</si>
  <si>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</si>
  <si>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</si>
  <si>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</si>
  <si>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</si>
  <si>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</si>
  <si>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</si>
  <si>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</si>
  <si>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</si>
  <si>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</si>
  <si>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</si>
  <si>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</si>
  <si>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</si>
  <si>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</si>
  <si>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</si>
  <si>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</si>
  <si>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</si>
  <si>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</si>
  <si>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</si>
  <si>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</si>
  <si>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</si>
  <si>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</si>
  <si>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</si>
  <si>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</si>
  <si>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</si>
  <si>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</si>
  <si>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</si>
  <si>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</si>
  <si>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</si>
  <si>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</si>
  <si>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</si>
  <si>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</si>
  <si>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</si>
  <si>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</si>
  <si>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</si>
  <si>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</si>
  <si>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</si>
  <si>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</si>
  <si>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</si>
  <si>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</si>
  <si>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</si>
  <si>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</si>
  <si>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</si>
  <si>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</si>
  <si>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</si>
  <si>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</si>
  <si>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</si>
  <si>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</si>
  <si>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</si>
  <si>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</si>
  <si>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</si>
  <si>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</si>
  <si>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</si>
  <si>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</si>
  <si>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</si>
  <si>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</si>
  <si>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</si>
  <si>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</si>
  <si>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</si>
  <si>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</si>
  <si>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</si>
  <si>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</si>
  <si>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</si>
  <si>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</si>
  <si>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</si>
  <si>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</si>
  <si>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</si>
  <si>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</si>
  <si>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</si>
  <si>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</si>
  <si>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</si>
  <si>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</si>
  <si>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</si>
  <si>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</si>
  <si>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</si>
  <si>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</si>
  <si>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</si>
  <si>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</si>
  <si>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</si>
  <si>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</si>
  <si>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</si>
  <si>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</si>
  <si>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</si>
  <si>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</si>
  <si>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</si>
  <si>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</si>
  <si>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</si>
  <si>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</si>
  <si>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</si>
  <si>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</si>
  <si>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</si>
  <si>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</si>
  <si>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</si>
  <si>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</si>
  <si>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</si>
  <si>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</si>
  <si>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</si>
  <si>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</si>
  <si>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</si>
  <si>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</si>
  <si>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</si>
  <si>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</si>
  <si>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</si>
  <si>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</si>
  <si>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</si>
  <si>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</si>
  <si>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</si>
  <si>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</si>
  <si>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</si>
  <si>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</si>
  <si>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</si>
  <si>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</si>
  <si>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</si>
  <si>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</si>
  <si>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</si>
  <si>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</si>
  <si>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</si>
  <si>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</si>
  <si>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</si>
  <si>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</si>
  <si>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</si>
  <si>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</si>
  <si>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</si>
  <si>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</si>
  <si>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</si>
  <si>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</si>
  <si>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</si>
  <si>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</si>
  <si>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</si>
  <si>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</si>
  <si>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</si>
  <si>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</si>
  <si>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</si>
  <si>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</si>
  <si>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</si>
  <si>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</si>
  <si>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</si>
  <si>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</si>
  <si>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</si>
  <si>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</si>
  <si>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</si>
  <si>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</si>
  <si>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</si>
  <si>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</si>
  <si>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</si>
  <si>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</si>
  <si>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</si>
  <si>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</si>
  <si>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</si>
  <si>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</si>
  <si>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</si>
  <si>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</si>
  <si>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</si>
  <si>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</si>
  <si>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</si>
  <si>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</si>
  <si>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</si>
  <si>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</si>
  <si>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</si>
  <si>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</si>
  <si>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</si>
  <si>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</si>
  <si>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</si>
  <si>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</si>
  <si>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</si>
  <si>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</si>
  <si>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</si>
  <si>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</si>
  <si>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</si>
  <si>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</si>
  <si>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</si>
  <si>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</si>
  <si>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</si>
  <si>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</si>
  <si>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</si>
  <si>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</si>
  <si>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</si>
  <si>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</si>
  <si>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</si>
  <si>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</si>
  <si>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</si>
  <si>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</si>
  <si>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</si>
  <si>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</si>
  <si>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</si>
  <si>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</si>
  <si>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</si>
  <si>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</si>
  <si>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</si>
  <si>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</si>
  <si>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</si>
  <si>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</si>
  <si>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</si>
  <si>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</si>
  <si>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</si>
  <si>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</si>
  <si>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</si>
  <si>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</si>
  <si>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</si>
  <si>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</si>
  <si>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</si>
  <si>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</si>
  <si>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</si>
  <si>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</si>
  <si>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</si>
  <si>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</si>
  <si>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</si>
  <si>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</si>
  <si>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</si>
  <si>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</si>
  <si>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</si>
  <si>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</si>
  <si>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</si>
  <si>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</si>
  <si>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</si>
  <si>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</si>
  <si>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</si>
  <si>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</si>
  <si>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</si>
  <si>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</si>
  <si>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</si>
  <si>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</si>
  <si>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</si>
  <si>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</si>
  <si>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</si>
  <si>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</si>
  <si>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</si>
  <si>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</si>
  <si>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</si>
  <si>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</si>
  <si>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</si>
  <si>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</si>
  <si>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</si>
  <si>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</si>
  <si>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</si>
  <si>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</si>
  <si>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</si>
  <si>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</si>
  <si>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</si>
  <si>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</si>
  <si>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</si>
  <si>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</si>
  <si>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</si>
  <si>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</si>
  <si>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</si>
  <si>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</si>
  <si>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</si>
  <si>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</si>
  <si>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</si>
  <si>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</si>
  <si>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</si>
  <si>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</si>
  <si>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</si>
  <si>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</si>
  <si>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</si>
  <si>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</si>
  <si>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</si>
  <si>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</si>
  <si>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</si>
  <si>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</si>
  <si>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</si>
  <si>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</si>
  <si>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</si>
  <si>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</si>
  <si>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</si>
  <si>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</si>
  <si>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</si>
  <si>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</si>
  <si>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</si>
  <si>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</si>
  <si>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</si>
  <si>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</si>
  <si>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</si>
  <si>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</si>
  <si>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</si>
  <si>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</si>
  <si>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</si>
  <si>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</si>
  <si>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</si>
  <si>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</si>
  <si>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</si>
  <si>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</si>
  <si>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</si>
  <si>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</si>
  <si>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</si>
  <si>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</si>
  <si>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</si>
  <si>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</si>
  <si>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</si>
  <si>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</si>
  <si>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</si>
  <si>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</si>
  <si>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</si>
  <si>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</si>
  <si>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</si>
  <si>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</si>
  <si>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</si>
  <si>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</si>
  <si>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</si>
  <si>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</si>
  <si>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</si>
  <si>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</si>
  <si>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</si>
  <si>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</si>
  <si>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</si>
  <si>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</si>
  <si>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</si>
  <si>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</si>
  <si>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</si>
  <si>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</si>
  <si>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</si>
  <si>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</si>
  <si>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</si>
  <si>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</si>
  <si>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</si>
  <si>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</si>
  <si>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</si>
  <si>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</si>
  <si>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</si>
  <si>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</si>
  <si>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</si>
  <si>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</si>
  <si>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</si>
  <si>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</si>
  <si>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</si>
  <si>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</si>
  <si>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</si>
  <si>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</si>
  <si>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</si>
  <si>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</si>
  <si>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</si>
  <si>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</si>
  <si>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</si>
  <si>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</si>
  <si>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</si>
  <si>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</si>
  <si>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</si>
  <si>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</si>
  <si>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</si>
  <si>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</si>
  <si>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</si>
  <si>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</si>
  <si>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</si>
  <si>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</si>
  <si>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</si>
  <si>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</si>
  <si>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</si>
  <si>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</si>
  <si>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</si>
  <si>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</si>
  <si>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</si>
  <si>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</si>
  <si>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</si>
  <si>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</si>
  <si>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</si>
  <si>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</si>
  <si>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</si>
  <si>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</si>
  <si>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</si>
  <si>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</si>
  <si>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</si>
  <si>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</si>
  <si>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</si>
  <si>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</si>
  <si>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</si>
  <si>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</si>
  <si>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</si>
  <si>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</si>
  <si>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</si>
  <si>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</si>
  <si>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</si>
  <si>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</si>
  <si>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</si>
  <si>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</si>
  <si>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</si>
  <si>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</si>
  <si>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</si>
  <si>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</si>
  <si>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</si>
  <si>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</si>
  <si>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</si>
  <si>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</si>
  <si>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</si>
  <si>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</si>
  <si>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</si>
  <si>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</si>
  <si>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</si>
  <si>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</si>
  <si>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</si>
  <si>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</si>
  <si>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</si>
  <si>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</si>
  <si>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</si>
  <si>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</si>
  <si>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</si>
  <si>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</si>
  <si>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</si>
  <si>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</si>
  <si>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</si>
  <si>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</si>
  <si>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</si>
  <si>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</si>
  <si>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</si>
  <si>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</si>
  <si>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</si>
  <si>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</si>
  <si>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</si>
  <si>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</si>
  <si>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</si>
  <si>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</si>
  <si>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</si>
  <si>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</si>
  <si>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</si>
  <si>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</si>
  <si>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</si>
  <si>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</si>
  <si>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</si>
  <si>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</si>
  <si>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</si>
  <si>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</si>
  <si>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</si>
  <si>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</si>
  <si>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</si>
  <si>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</si>
  <si>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</si>
  <si>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</si>
  <si>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</si>
  <si>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</si>
  <si>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</si>
  <si>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</si>
  <si>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</si>
  <si>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</si>
  <si>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</si>
  <si>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</si>
  <si>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</si>
  <si>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</si>
  <si>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</si>
  <si>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</si>
  <si>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</si>
  <si>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</si>
  <si>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</si>
  <si>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</si>
  <si>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</si>
  <si>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</si>
  <si>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</si>
  <si>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</si>
  <si>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</si>
  <si>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</si>
  <si>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</si>
  <si>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</si>
  <si>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</si>
  <si>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</si>
  <si>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</si>
  <si>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</si>
  <si>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</si>
  <si>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</si>
  <si>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</si>
  <si>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</si>
  <si>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</si>
  <si>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</si>
  <si>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</si>
  <si>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</si>
  <si>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</si>
  <si>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</si>
  <si>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</si>
  <si>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</si>
  <si>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</si>
  <si>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</si>
  <si>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</si>
  <si>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</si>
  <si>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</si>
  <si>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</si>
  <si>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</si>
  <si>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</si>
  <si>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</si>
  <si>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</si>
  <si>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</si>
  <si>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</si>
  <si>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</si>
  <si>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</si>
  <si>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</si>
  <si>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</si>
  <si>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</si>
  <si>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</si>
  <si>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</si>
  <si>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</si>
  <si>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</si>
  <si>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</si>
  <si>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</si>
  <si>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</si>
  <si>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</si>
  <si>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</si>
  <si>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</si>
  <si>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</si>
  <si>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</si>
  <si>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</si>
  <si>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</si>
  <si>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</si>
  <si>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</si>
  <si>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</si>
  <si>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</si>
  <si>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</si>
  <si>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</si>
  <si>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</si>
  <si>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</si>
  <si>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</si>
  <si>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</si>
  <si>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</si>
  <si>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</si>
  <si>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</si>
  <si>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</si>
  <si>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</si>
  <si>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</si>
  <si>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</si>
  <si>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</si>
  <si>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</si>
  <si>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</si>
  <si>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</si>
  <si>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</si>
  <si>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</si>
  <si>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</si>
  <si>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</si>
  <si>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</si>
  <si>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</si>
  <si>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</si>
  <si>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</si>
  <si>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</si>
  <si>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</si>
  <si>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</si>
  <si>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</si>
  <si>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</si>
  <si>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</si>
  <si>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</si>
  <si>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</si>
  <si>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</si>
  <si>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</si>
  <si>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</si>
  <si>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</si>
  <si>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</si>
  <si>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</si>
  <si>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</si>
  <si>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</si>
  <si>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</si>
  <si>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</si>
  <si>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</si>
  <si>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</si>
  <si>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</si>
  <si>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</si>
  <si>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</si>
  <si>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</si>
  <si>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</si>
  <si>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</si>
  <si>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</si>
  <si>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</si>
  <si>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</si>
  <si>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</si>
  <si>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</si>
  <si>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</si>
  <si>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</si>
  <si>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</si>
  <si>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</si>
  <si>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</si>
  <si>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</si>
  <si>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</si>
  <si>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</si>
  <si>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</si>
  <si>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</si>
  <si>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</si>
  <si>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</si>
  <si>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</si>
  <si>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</si>
  <si>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</si>
  <si>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</si>
  <si>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</si>
  <si>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</si>
  <si>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</si>
  <si>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</si>
  <si>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</si>
  <si>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</si>
  <si>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</si>
  <si>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</si>
  <si>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</si>
  <si>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</si>
  <si>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</si>
  <si>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</si>
  <si>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</si>
  <si>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</si>
  <si>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</si>
  <si>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</si>
  <si>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</si>
  <si>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</si>
  <si>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</si>
  <si>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</si>
  <si>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</si>
  <si>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</si>
  <si>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</si>
  <si>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</si>
  <si>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</si>
  <si>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</si>
  <si>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</si>
  <si>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</si>
  <si>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</si>
  <si>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</si>
  <si>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</si>
  <si>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</si>
  <si>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</si>
  <si>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</si>
  <si>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</si>
  <si>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</si>
  <si>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</si>
  <si>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</si>
  <si>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</si>
  <si>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</si>
  <si>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</si>
  <si>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</si>
  <si>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</si>
  <si>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</si>
  <si>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</si>
  <si>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</si>
  <si>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</si>
  <si>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</si>
  <si>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</si>
  <si>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</si>
  <si>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</si>
  <si>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</si>
  <si>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</si>
  <si>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</si>
  <si>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</si>
  <si>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</si>
  <si>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</si>
  <si>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</si>
  <si>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</si>
  <si>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</si>
  <si>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</si>
  <si>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</si>
  <si>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</si>
  <si>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</si>
  <si>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</si>
  <si>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</si>
  <si>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</si>
  <si>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</si>
  <si>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</si>
  <si>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</si>
  <si>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</si>
  <si>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</si>
  <si>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</si>
  <si>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</si>
  <si>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</si>
  <si>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</si>
  <si>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</si>
  <si>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</si>
  <si>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</si>
  <si>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</si>
  <si>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</si>
  <si>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</si>
  <si>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</si>
  <si>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</si>
  <si>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</si>
  <si>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</si>
  <si>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</si>
  <si>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</si>
  <si>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</si>
  <si>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</si>
  <si>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</si>
  <si>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</si>
  <si>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</si>
  <si>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</si>
  <si>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</si>
  <si>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</si>
  <si>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</si>
  <si>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</si>
  <si>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</si>
  <si>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</si>
  <si>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</si>
  <si>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</si>
  <si>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</si>
  <si>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</si>
  <si>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</si>
  <si>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</si>
  <si>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</si>
  <si>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</si>
  <si>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</si>
  <si>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</si>
  <si>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</si>
  <si>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</si>
  <si>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</si>
  <si>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</si>
  <si>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</si>
  <si>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</si>
  <si>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</si>
  <si>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</si>
  <si>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</si>
  <si>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</si>
  <si>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</si>
  <si>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</si>
  <si>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</si>
  <si>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</si>
  <si>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</si>
  <si>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</si>
  <si>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</si>
  <si>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</si>
  <si>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</si>
  <si>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</si>
  <si>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</si>
  <si>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</si>
  <si>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</si>
  <si>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</si>
  <si>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</si>
  <si>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</si>
  <si>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</si>
  <si>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</si>
  <si>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</si>
  <si>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</si>
  <si>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</si>
  <si>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</si>
  <si>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</si>
  <si>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</si>
  <si>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</si>
  <si>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</si>
  <si>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</si>
  <si>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</si>
  <si>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</si>
  <si>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</si>
  <si>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</si>
  <si>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</si>
  <si>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</si>
  <si>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</si>
  <si>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</si>
  <si>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</si>
  <si>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</si>
  <si>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</si>
  <si>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</si>
  <si>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</si>
  <si>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</si>
  <si>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</si>
  <si>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</si>
  <si>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</si>
  <si>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</si>
  <si>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</si>
  <si>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</si>
  <si>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</si>
  <si>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</si>
  <si>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</si>
  <si>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</si>
  <si>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</si>
  <si>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</si>
  <si>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</si>
  <si>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</si>
  <si>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</si>
  <si>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</si>
  <si>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</si>
  <si>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</si>
  <si>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</si>
  <si>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</si>
  <si>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</si>
  <si>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</si>
  <si>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</si>
  <si>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</si>
  <si>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</si>
  <si>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</si>
  <si>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</si>
  <si>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</si>
  <si>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</si>
  <si>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</si>
  <si>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</si>
  <si>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</si>
  <si>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</si>
  <si>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</si>
  <si>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</si>
  <si>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</si>
  <si>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</si>
  <si>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</si>
  <si>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</si>
  <si>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</si>
  <si>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</si>
  <si>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</si>
  <si>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</si>
  <si>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</si>
  <si>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</si>
  <si>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</si>
  <si>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</si>
  <si>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</si>
  <si>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</si>
  <si>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</si>
  <si>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</si>
  <si>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</si>
  <si>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</si>
  <si>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</si>
  <si>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</si>
  <si>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</si>
  <si>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</si>
  <si>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</si>
  <si>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</si>
  <si>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</si>
  <si>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</si>
  <si>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</si>
  <si>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</si>
  <si>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</si>
  <si>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</si>
  <si>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</si>
  <si>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</si>
  <si>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</si>
  <si>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</si>
  <si>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</si>
  <si>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</si>
  <si>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</si>
  <si>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</si>
  <si>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</si>
  <si>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</si>
  <si>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</si>
  <si>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</si>
  <si>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</si>
  <si>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</si>
  <si>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</si>
  <si>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</si>
  <si>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</si>
  <si>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</si>
  <si>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</si>
  <si>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</si>
  <si>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</si>
  <si>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</si>
  <si>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</si>
  <si>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</si>
  <si>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</si>
  <si>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</si>
  <si>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</si>
  <si>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</si>
  <si>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</si>
  <si>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</si>
  <si>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</si>
  <si>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</si>
  <si>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</si>
  <si>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</si>
  <si>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</si>
  <si>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</si>
  <si>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</si>
  <si>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</si>
  <si>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</si>
  <si>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</si>
  <si>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</si>
  <si>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</si>
  <si>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</si>
  <si>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</si>
  <si>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</si>
  <si>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</si>
  <si>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</si>
  <si>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</si>
  <si>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</si>
  <si>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</si>
  <si>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</si>
  <si>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</si>
  <si>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</si>
  <si>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</si>
  <si>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</si>
  <si>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</si>
  <si>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</si>
  <si>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</si>
  <si>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</si>
  <si>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</si>
  <si>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</si>
  <si>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</si>
  <si>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</si>
  <si>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</si>
  <si>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</si>
  <si>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</si>
  <si>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</si>
  <si>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</si>
  <si>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</si>
  <si>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</si>
  <si>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</si>
  <si>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</si>
  <si>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</si>
  <si>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</si>
  <si>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</si>
  <si>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</si>
  <si>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</si>
  <si>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</si>
  <si>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</si>
  <si>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</si>
  <si>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</si>
  <si>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</si>
  <si>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</si>
  <si>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</si>
  <si>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</si>
  <si>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</si>
  <si>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</si>
  <si>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</si>
  <si>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</si>
  <si>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</si>
  <si>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</si>
  <si>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</si>
  <si>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</si>
  <si>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</si>
  <si>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</si>
  <si>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</si>
  <si>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</si>
  <si>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</si>
  <si>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</si>
  <si>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</si>
  <si>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</si>
  <si>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</si>
  <si>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</si>
  <si>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</si>
  <si>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</si>
  <si>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</si>
  <si>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</si>
  <si>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</si>
  <si>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</si>
  <si>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</si>
  <si>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</si>
  <si>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</si>
  <si>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</si>
  <si>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</si>
  <si>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</si>
  <si>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</si>
  <si>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</si>
  <si>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</si>
  <si>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</si>
  <si>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</si>
  <si>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</si>
  <si>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</si>
  <si>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</si>
  <si>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</si>
  <si>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</si>
  <si>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</si>
  <si>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</si>
  <si>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</si>
  <si>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</si>
  <si>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</si>
  <si>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</si>
  <si>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</si>
  <si>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</si>
  <si>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</si>
  <si>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</si>
  <si>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</si>
  <si>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</si>
  <si>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</si>
  <si>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</si>
  <si>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</si>
  <si>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</si>
  <si>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</si>
  <si>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</si>
  <si>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</si>
  <si>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</si>
  <si>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</si>
  <si>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</si>
  <si>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</si>
  <si>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</si>
  <si>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</si>
  <si>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</si>
  <si>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</si>
  <si>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</si>
  <si>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</si>
  <si>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</si>
  <si>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</si>
  <si>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</si>
  <si>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</si>
  <si>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</si>
  <si>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</si>
  <si>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</si>
  <si>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</si>
  <si>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</si>
  <si>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</si>
  <si>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</si>
  <si>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</si>
  <si>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</si>
  <si>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</si>
  <si>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</si>
  <si>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</si>
  <si>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</si>
  <si>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</si>
  <si>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</si>
  <si>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</si>
  <si>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</si>
  <si>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</si>
  <si>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</si>
  <si>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</si>
  <si>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</si>
  <si>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</si>
  <si>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</si>
  <si>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</si>
  <si>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</si>
  <si>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</si>
  <si>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</si>
  <si>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</si>
  <si>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</si>
  <si>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</si>
  <si>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</si>
  <si>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</si>
  <si>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</si>
  <si>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</si>
  <si>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</si>
  <si>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</si>
  <si>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</si>
  <si>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</si>
  <si>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</si>
  <si>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</si>
  <si>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</si>
  <si>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</si>
  <si>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</si>
  <si>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</si>
  <si>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</si>
  <si>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</si>
  <si>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</si>
  <si>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</si>
  <si>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</si>
  <si>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</si>
  <si>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</si>
  <si>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</si>
  <si>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</si>
  <si>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</si>
  <si>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</si>
  <si>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</si>
  <si>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</si>
  <si>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</si>
  <si>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</si>
  <si>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</si>
  <si>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</si>
  <si>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</si>
  <si>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</si>
  <si>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</si>
  <si>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</si>
  <si>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</si>
  <si>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</si>
  <si>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</si>
  <si>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</si>
  <si>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</si>
  <si>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</si>
  <si>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</si>
  <si>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</si>
  <si>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</si>
  <si>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</si>
  <si>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</si>
  <si>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</si>
  <si>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</si>
  <si>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</si>
  <si>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</si>
  <si>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</si>
  <si>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</si>
  <si>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</si>
  <si>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</si>
  <si>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</si>
  <si>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</si>
  <si>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</si>
  <si>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</si>
  <si>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</si>
  <si>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</si>
  <si>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</si>
  <si>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</si>
  <si>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</si>
  <si>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</si>
  <si>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</si>
  <si>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</si>
  <si>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</si>
  <si>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</si>
  <si>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</si>
  <si>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</si>
  <si>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</si>
  <si>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</si>
  <si>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</si>
  <si>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</si>
  <si>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</si>
  <si>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</si>
  <si>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</si>
  <si>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</si>
  <si>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</si>
  <si>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</si>
  <si>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</si>
  <si>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</si>
  <si>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</si>
  <si>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</si>
  <si>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</si>
  <si>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</si>
  <si>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</si>
  <si>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</si>
  <si>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</si>
  <si>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</si>
  <si>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</si>
  <si>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</si>
  <si>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</si>
  <si>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</si>
  <si>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</si>
  <si>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</si>
  <si>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</si>
  <si>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</si>
  <si>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</si>
  <si>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</si>
  <si>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</si>
  <si>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</si>
  <si>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</si>
  <si>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</si>
  <si>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</si>
  <si>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</si>
  <si>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</si>
  <si>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</si>
  <si>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</si>
  <si>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</si>
  <si>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</si>
  <si>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</si>
  <si>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</si>
  <si>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</si>
  <si>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</si>
  <si>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</si>
  <si>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</si>
  <si>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</si>
  <si>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</si>
  <si>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</si>
  <si>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</si>
  <si>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</si>
  <si>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</si>
  <si>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</si>
  <si>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</si>
  <si>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</si>
  <si>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</si>
  <si>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</si>
  <si>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</si>
  <si>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</si>
  <si>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</si>
  <si>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</si>
  <si>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</si>
  <si>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</si>
  <si>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</si>
  <si>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</si>
  <si>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</si>
  <si>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</si>
  <si>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</si>
  <si>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</si>
  <si>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</si>
  <si>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</si>
  <si>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</si>
  <si>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</si>
  <si>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</si>
  <si>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</si>
  <si>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</si>
  <si>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</si>
  <si>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</si>
  <si>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</si>
  <si>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</si>
  <si>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</si>
  <si>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</si>
  <si>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</si>
  <si>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</si>
  <si>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</si>
  <si>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</si>
  <si>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</si>
  <si>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</si>
  <si>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</si>
  <si>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</si>
  <si>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</si>
  <si>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</si>
  <si>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</si>
  <si>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</si>
  <si>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</si>
  <si>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</si>
  <si>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</si>
  <si>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</si>
  <si>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</si>
  <si>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</si>
  <si>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</si>
  <si>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</si>
  <si>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</si>
  <si>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</si>
  <si>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</si>
  <si>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</si>
  <si>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</si>
  <si>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</si>
  <si>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</si>
  <si>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</si>
  <si>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</si>
  <si>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</si>
  <si>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</si>
  <si>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</si>
  <si>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</si>
  <si>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</si>
  <si>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</si>
  <si>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</si>
  <si>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</si>
  <si>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</si>
  <si>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</si>
  <si>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</si>
  <si>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</si>
  <si>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</si>
  <si>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</si>
  <si>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</si>
  <si>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</si>
  <si>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</si>
  <si>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</si>
  <si>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</si>
  <si>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</si>
  <si>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</si>
  <si>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</si>
  <si>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</si>
  <si>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</si>
  <si>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</si>
  <si>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</si>
  <si>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</si>
  <si>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</si>
  <si>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</si>
  <si>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</si>
  <si>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</si>
  <si>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</si>
  <si>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</si>
  <si>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</si>
  <si>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</si>
  <si>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</si>
  <si>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</si>
  <si>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</si>
  <si>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</si>
  <si>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</si>
  <si>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</si>
  <si>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</si>
  <si>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</si>
  <si>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</si>
  <si>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</si>
  <si>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</si>
  <si>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</si>
  <si>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</si>
  <si>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</si>
  <si>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</si>
  <si>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</si>
  <si>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</si>
  <si>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</si>
  <si>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</si>
  <si>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</si>
  <si>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</si>
  <si>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</si>
  <si>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</si>
  <si>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</si>
  <si>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</si>
  <si>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</si>
  <si>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</si>
  <si>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</si>
  <si>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</si>
  <si>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</si>
  <si>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</si>
  <si>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</si>
  <si>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</si>
  <si>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</si>
  <si>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</si>
  <si>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</si>
  <si>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</si>
  <si>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</si>
  <si>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</si>
  <si>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</si>
  <si>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</si>
  <si>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</si>
  <si>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</si>
  <si>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</si>
  <si>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</si>
  <si>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</si>
  <si>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</si>
  <si>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</si>
  <si>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</si>
  <si>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</si>
  <si>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</si>
  <si>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</si>
  <si>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</si>
  <si>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</si>
  <si>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</si>
  <si>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</si>
  <si>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</si>
  <si>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</si>
  <si>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</si>
  <si>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</si>
  <si>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</si>
  <si>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</si>
  <si>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</si>
  <si>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</si>
  <si>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</si>
  <si>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</si>
  <si>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</si>
  <si>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</si>
  <si>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</si>
  <si>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</si>
  <si>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</si>
  <si>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</si>
  <si>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</si>
  <si>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</si>
  <si>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</si>
  <si>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</si>
  <si>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</si>
  <si>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</si>
  <si>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</si>
  <si>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</si>
  <si>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</si>
  <si>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</si>
  <si>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</si>
  <si>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</si>
  <si>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</si>
  <si>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</si>
  <si>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</si>
  <si>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</si>
  <si>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</si>
  <si>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</si>
  <si>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</si>
  <si>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</si>
  <si>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</si>
  <si>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</si>
  <si>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</si>
  <si>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</si>
  <si>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</si>
  <si>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</si>
  <si>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</si>
  <si>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</si>
  <si>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</si>
  <si>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</si>
  <si>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</si>
  <si>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</si>
  <si>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</si>
  <si>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</si>
  <si>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</si>
  <si>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</si>
  <si>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</si>
  <si>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</si>
  <si>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</si>
  <si>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</si>
  <si>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</si>
  <si>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</si>
  <si>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</si>
  <si>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</si>
  <si>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</si>
  <si>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</si>
  <si>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</si>
  <si>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</si>
  <si>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</si>
  <si>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</si>
  <si>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</si>
  <si>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</si>
  <si>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</si>
  <si>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</si>
  <si>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</si>
  <si>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</si>
  <si>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</si>
  <si>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</si>
  <si>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</si>
  <si>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</si>
  <si>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</si>
  <si>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</si>
  <si>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</si>
  <si>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</si>
  <si>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</si>
  <si>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</si>
  <si>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</si>
  <si>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</si>
  <si>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</si>
  <si>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</si>
  <si>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</si>
  <si>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</si>
  <si>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</si>
  <si>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</si>
  <si>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</si>
  <si>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</si>
  <si>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</si>
  <si>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</si>
  <si>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</si>
  <si>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</si>
  <si>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</si>
  <si>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</si>
  <si>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</si>
  <si>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</si>
  <si>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</si>
  <si>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</si>
  <si>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</si>
  <si>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</si>
  <si>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</si>
  <si>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</si>
  <si>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</si>
  <si>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</si>
  <si>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</si>
  <si>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</si>
  <si>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</si>
  <si>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</si>
  <si>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</si>
  <si>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</si>
  <si>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</si>
  <si>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</si>
  <si>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</si>
  <si>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</si>
  <si>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</si>
  <si>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</si>
  <si>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</si>
  <si>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</si>
  <si>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</si>
  <si>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</si>
  <si>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</si>
  <si>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</si>
  <si>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</si>
  <si>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</si>
  <si>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</si>
  <si>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</si>
  <si>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</si>
  <si>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</si>
  <si>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</si>
  <si>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</si>
  <si>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</si>
  <si>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</si>
  <si>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</si>
  <si>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</si>
  <si>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</si>
  <si>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</si>
  <si>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</si>
  <si>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</si>
  <si>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</si>
  <si>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</si>
  <si>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</si>
  <si>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</si>
  <si>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</si>
  <si>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</si>
  <si>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</si>
  <si>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</si>
  <si>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</si>
  <si>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</si>
  <si>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</si>
  <si>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</si>
  <si>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</si>
  <si>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</si>
  <si>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</si>
  <si>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</si>
  <si>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</si>
  <si>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</si>
  <si>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</si>
  <si>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</si>
  <si>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</si>
  <si>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</si>
  <si>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</si>
  <si>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</si>
  <si>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</si>
  <si>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</si>
  <si>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</si>
  <si>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</si>
  <si>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</si>
  <si>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</si>
  <si>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</si>
  <si>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</si>
  <si>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</si>
  <si>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</si>
  <si>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</si>
  <si>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</si>
  <si>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</si>
  <si>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</si>
  <si>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</si>
  <si>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</si>
  <si>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</si>
  <si>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</si>
  <si>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</si>
  <si>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</si>
  <si>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</si>
  <si>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</si>
  <si>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</si>
  <si>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</si>
  <si>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</si>
  <si>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</si>
  <si>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</si>
  <si>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</si>
  <si>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</si>
  <si>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</si>
  <si>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</si>
  <si>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</si>
  <si>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</si>
  <si>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</si>
  <si>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</si>
  <si>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</si>
  <si>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</si>
  <si>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</si>
  <si>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</si>
  <si>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</si>
  <si>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</si>
  <si>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</si>
  <si>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</si>
  <si>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</si>
  <si>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</si>
  <si>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</si>
  <si>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</si>
  <si>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</si>
  <si>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</si>
  <si>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</si>
  <si>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</si>
  <si>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</si>
  <si>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</si>
  <si>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</si>
  <si>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</si>
  <si>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</si>
  <si>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</si>
  <si>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</si>
  <si>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</si>
  <si>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</si>
  <si>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</si>
  <si>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</si>
  <si>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</si>
  <si>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</si>
  <si>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</si>
  <si>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</si>
  <si>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</si>
  <si>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</si>
  <si>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</si>
  <si>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</si>
  <si>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</si>
  <si>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</si>
  <si>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</si>
  <si>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</si>
  <si>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</si>
  <si>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</si>
  <si>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</si>
  <si>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</si>
  <si>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</si>
  <si>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</si>
  <si>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</si>
  <si>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</si>
  <si>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</si>
  <si>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</si>
  <si>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</si>
  <si>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</si>
  <si>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</si>
  <si>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</si>
  <si>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</si>
  <si>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</si>
  <si>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</si>
  <si>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</si>
  <si>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</si>
  <si>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</si>
  <si>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</si>
  <si>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</si>
  <si>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</si>
  <si>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</si>
  <si>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</si>
  <si>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</si>
  <si>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</si>
  <si>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</si>
  <si>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</si>
  <si>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</si>
  <si>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</si>
  <si>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</si>
  <si>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</si>
  <si>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</si>
  <si>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</si>
  <si>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</si>
  <si>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</si>
  <si>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</si>
  <si>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</si>
  <si>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</si>
  <si>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</si>
  <si>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</si>
  <si>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</si>
  <si>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</si>
  <si>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</si>
  <si>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</si>
  <si>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</si>
  <si>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</si>
  <si>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</si>
  <si>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</si>
  <si>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</si>
  <si>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</si>
  <si>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</si>
  <si>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</si>
  <si>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</si>
  <si>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</si>
  <si>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</si>
  <si>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</si>
  <si>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</si>
  <si>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</si>
  <si>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</si>
  <si>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</si>
  <si>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</si>
  <si>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</si>
  <si>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</si>
  <si>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</si>
  <si>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</si>
  <si>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</si>
  <si>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</si>
  <si>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</si>
  <si>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</si>
  <si>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</si>
  <si>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</si>
  <si>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</si>
  <si>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</si>
  <si>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</si>
  <si>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</si>
  <si>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</si>
  <si>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</si>
  <si>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</si>
  <si>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</si>
  <si>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</si>
  <si>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</si>
  <si>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</si>
  <si>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</si>
  <si>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</si>
  <si>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</si>
  <si>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</si>
  <si>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</si>
  <si>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</si>
  <si>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</si>
  <si>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</si>
  <si>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</si>
  <si>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</si>
  <si>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</si>
  <si>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</si>
  <si>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</si>
  <si>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</si>
  <si>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</si>
  <si>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</si>
  <si>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</si>
  <si>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</si>
  <si>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</si>
  <si>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</si>
  <si>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</si>
  <si>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</si>
  <si>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</si>
  <si>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</si>
  <si>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</si>
  <si>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</si>
  <si>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</si>
  <si>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</si>
  <si>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</si>
  <si>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</si>
  <si>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</si>
  <si>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</si>
  <si>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</si>
  <si>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</si>
  <si>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</si>
  <si>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</si>
  <si>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</si>
  <si>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</si>
  <si>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</si>
  <si>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</si>
  <si>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</si>
  <si>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</si>
  <si>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</si>
  <si>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</si>
  <si>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</si>
  <si>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</si>
  <si>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</si>
  <si>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</si>
  <si>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</si>
  <si>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</si>
  <si>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</si>
  <si>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</si>
  <si>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</si>
  <si>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</si>
  <si>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</si>
  <si>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</si>
  <si>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</si>
  <si>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</si>
  <si>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</si>
  <si>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</si>
  <si>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</si>
  <si>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</si>
  <si>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</si>
  <si>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</si>
  <si>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</si>
  <si>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</si>
  <si>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</si>
  <si>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</si>
  <si>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</si>
  <si>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</si>
  <si>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</si>
  <si>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</si>
  <si>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</si>
  <si>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</si>
  <si>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</si>
  <si>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</si>
  <si>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</si>
  <si>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</si>
  <si>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</si>
  <si>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</si>
  <si>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</si>
  <si>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</si>
  <si>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</si>
  <si>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</si>
  <si>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</si>
  <si>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</si>
  <si>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</si>
  <si>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</si>
  <si>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</si>
  <si>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</si>
  <si>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</si>
  <si>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</si>
  <si>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</si>
  <si>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</si>
  <si>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</si>
  <si>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</si>
  <si>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</si>
  <si>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</si>
  <si>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</si>
  <si>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</si>
  <si>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</si>
  <si>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</si>
  <si>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</si>
  <si>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</si>
  <si>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</si>
  <si>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</si>
  <si>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</si>
  <si>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</si>
  <si>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</si>
  <si>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</si>
  <si>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</si>
  <si>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</si>
  <si>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</si>
  <si>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</si>
  <si>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</si>
  <si>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</si>
  <si>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</si>
  <si>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</si>
  <si>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</si>
  <si>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</si>
  <si>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</si>
  <si>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</si>
  <si>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</si>
  <si>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</si>
  <si>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</si>
  <si>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</si>
  <si>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</si>
  <si>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</si>
  <si>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</si>
  <si>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</si>
  <si>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</si>
  <si>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</si>
  <si>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</si>
  <si>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</si>
  <si>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</si>
  <si>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</si>
  <si>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</si>
  <si>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</si>
  <si>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</si>
  <si>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</si>
  <si>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</si>
  <si>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</si>
  <si>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</si>
  <si>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</si>
  <si>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</si>
  <si>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</si>
  <si>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</si>
  <si>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</si>
  <si>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</si>
  <si>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</si>
  <si>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</si>
  <si>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</si>
  <si>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</si>
  <si>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</si>
  <si>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</si>
  <si>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</si>
  <si>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</si>
  <si>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</si>
  <si>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</si>
  <si>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</si>
  <si>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</si>
  <si>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</si>
  <si>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</si>
  <si>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</si>
  <si>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</si>
  <si>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</si>
  <si>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</si>
  <si>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</si>
  <si>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</si>
  <si>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</si>
  <si>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</si>
  <si>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</si>
  <si>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</si>
  <si>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</si>
  <si>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</si>
  <si>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</si>
  <si>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</si>
  <si>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</si>
  <si>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</si>
  <si>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</si>
  <si>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</si>
  <si>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</si>
  <si>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</si>
  <si>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</si>
  <si>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</si>
  <si>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</si>
  <si>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</si>
  <si>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</si>
  <si>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</si>
  <si>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</si>
  <si>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</si>
  <si>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</si>
  <si>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</si>
  <si>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</si>
  <si>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</si>
  <si>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</si>
  <si>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</si>
  <si>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</si>
  <si>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</si>
  <si>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</si>
  <si>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</si>
  <si>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</si>
  <si>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</si>
  <si>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</si>
  <si>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</si>
  <si>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</si>
  <si>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</si>
  <si>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</si>
  <si>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</si>
  <si>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</si>
  <si>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</si>
  <si>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</si>
  <si>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</si>
  <si>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</si>
  <si>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</si>
  <si>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</si>
  <si>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</si>
  <si>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</si>
  <si>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</si>
  <si>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</si>
  <si>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</si>
  <si>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</si>
  <si>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</si>
  <si>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</si>
  <si>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</si>
  <si>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</si>
  <si>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</si>
  <si>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</si>
  <si>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</si>
  <si>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</si>
  <si>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</si>
  <si>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</si>
  <si>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</si>
  <si>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</si>
  <si>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</si>
  <si>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</si>
  <si>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</si>
  <si>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</si>
  <si>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</si>
  <si>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</si>
  <si>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</si>
  <si>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</si>
  <si>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</si>
  <si>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</si>
  <si>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</si>
  <si>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</si>
  <si>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</si>
  <si>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</si>
  <si>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</si>
  <si>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</si>
  <si>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</si>
  <si>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</si>
  <si>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</si>
  <si>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</si>
  <si>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</si>
  <si>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</si>
  <si>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</si>
  <si>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</si>
  <si>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</si>
  <si>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</si>
  <si>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</si>
  <si>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</si>
  <si>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</si>
  <si>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</si>
  <si>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</si>
  <si>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</si>
  <si>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</si>
  <si>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</si>
  <si>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</si>
  <si>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</si>
  <si>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</si>
  <si>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</si>
  <si>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</si>
  <si>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</si>
  <si>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</si>
  <si>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</si>
  <si>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</si>
  <si>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</si>
  <si>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</si>
  <si>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</si>
  <si>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</si>
  <si>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</si>
  <si>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</si>
  <si>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</si>
  <si>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</si>
  <si>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</si>
  <si>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</si>
  <si>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</si>
  <si>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</si>
  <si>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</si>
  <si>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</si>
  <si>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</si>
  <si>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</si>
  <si>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</si>
  <si>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</si>
  <si>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</si>
  <si>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</si>
  <si>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</si>
  <si>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</si>
  <si>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</si>
  <si>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</si>
  <si>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</si>
  <si>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</si>
  <si>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</si>
  <si>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</si>
  <si>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</si>
  <si>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</si>
  <si>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</si>
  <si>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</si>
  <si>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</si>
  <si>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</si>
  <si>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</si>
  <si>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</si>
  <si>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</si>
  <si>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</si>
  <si>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</si>
  <si>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</si>
  <si>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</si>
  <si>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</si>
  <si>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</si>
  <si>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</si>
  <si>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</si>
  <si>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</si>
  <si>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</si>
  <si>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</si>
  <si>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</si>
  <si>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</si>
  <si>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</si>
  <si>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</si>
  <si>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</si>
  <si>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</si>
  <si>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</si>
  <si>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</si>
  <si>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</si>
  <si>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</si>
  <si>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</si>
  <si>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</si>
  <si>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</si>
  <si>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</si>
  <si>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</si>
  <si>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</si>
  <si>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</si>
  <si>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</si>
  <si>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</si>
  <si>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</si>
  <si>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</si>
  <si>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</si>
  <si>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</si>
  <si>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</si>
  <si>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</si>
  <si>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</si>
  <si>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</si>
  <si>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</si>
  <si>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</si>
  <si>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</si>
  <si>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</si>
  <si>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</si>
  <si>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</si>
  <si>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</si>
  <si>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</si>
  <si>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</si>
  <si>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</si>
  <si>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</si>
  <si>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</si>
  <si>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</si>
  <si>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</si>
  <si>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</si>
  <si>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</si>
  <si>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</si>
  <si>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</si>
  <si>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</si>
  <si>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</si>
  <si>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</si>
  <si>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</si>
  <si>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</si>
  <si>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</si>
  <si>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</si>
  <si>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</si>
  <si>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</si>
  <si>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</si>
  <si>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</si>
  <si>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</si>
  <si>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</si>
  <si>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</si>
  <si>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</si>
  <si>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</si>
  <si>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</si>
  <si>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</si>
  <si>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</si>
  <si>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</si>
  <si>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</si>
  <si>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</si>
  <si>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</si>
  <si>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</si>
  <si>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</si>
  <si>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</si>
  <si>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</si>
  <si>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</si>
  <si>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</si>
  <si>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</si>
  <si>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</si>
  <si>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</si>
  <si>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</si>
  <si>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</si>
  <si>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</si>
  <si>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</si>
  <si>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</si>
  <si>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</si>
  <si>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</si>
  <si>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</si>
  <si>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</si>
  <si>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</si>
  <si>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</si>
  <si>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</si>
  <si>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</si>
  <si>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</si>
  <si>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</si>
  <si>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</si>
  <si>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</si>
  <si>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</si>
  <si>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</si>
  <si>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</si>
  <si>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</si>
  <si>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</si>
  <si>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</si>
  <si>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</si>
  <si>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</si>
  <si>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</si>
  <si>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</si>
  <si>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</si>
  <si>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</si>
  <si>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</si>
  <si>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</si>
  <si>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</si>
  <si>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</si>
  <si>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</si>
  <si>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</si>
  <si>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</si>
  <si>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</si>
  <si>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</si>
  <si>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</si>
  <si>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</si>
  <si>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</si>
  <si>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</si>
  <si>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</si>
  <si>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</si>
  <si>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</si>
  <si>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</si>
  <si>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</si>
  <si>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</si>
  <si>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</si>
  <si>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</si>
  <si>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</si>
  <si>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</si>
  <si>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</si>
  <si>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</si>
  <si>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</si>
  <si>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</si>
  <si>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</si>
  <si>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</si>
  <si>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</si>
  <si>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</si>
  <si>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</si>
  <si>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</si>
  <si>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</si>
  <si>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</si>
  <si>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</si>
  <si>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</si>
  <si>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</si>
  <si>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</si>
  <si>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</si>
  <si>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</si>
  <si>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</si>
  <si>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</si>
  <si>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</si>
  <si>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</si>
  <si>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</si>
  <si>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</si>
  <si>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</si>
  <si>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</si>
  <si>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</si>
  <si>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</si>
  <si>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</si>
  <si>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</si>
  <si>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</si>
  <si>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</si>
  <si>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</si>
  <si>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</si>
  <si>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</si>
  <si>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</si>
  <si>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</si>
  <si>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</si>
  <si>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</si>
  <si>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</si>
  <si>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</si>
  <si>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</si>
  <si>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</si>
  <si>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</si>
  <si>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</si>
  <si>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</si>
  <si>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</si>
  <si>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</si>
  <si>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</si>
  <si>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</si>
  <si>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</si>
  <si>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</si>
  <si>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</si>
  <si>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</si>
  <si>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</si>
  <si>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</si>
  <si>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</si>
  <si>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</si>
  <si>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</si>
  <si>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</si>
  <si>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</si>
  <si>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</si>
  <si>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</si>
  <si>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</si>
  <si>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</si>
  <si>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</si>
  <si>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</si>
  <si>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</si>
  <si>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</si>
  <si>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</si>
  <si>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</si>
  <si>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</si>
  <si>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</si>
  <si>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</si>
  <si>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</si>
  <si>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</si>
  <si>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</si>
  <si>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</si>
  <si>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</si>
  <si>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</si>
  <si>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</si>
  <si>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</si>
  <si>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</si>
  <si>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</si>
  <si>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</si>
  <si>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</si>
  <si>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</si>
  <si>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</si>
  <si>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</si>
  <si>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</si>
  <si>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</si>
  <si>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</si>
  <si>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</si>
  <si>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</si>
  <si>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</si>
  <si>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</si>
  <si>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</si>
  <si>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</si>
  <si>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</si>
  <si>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</si>
  <si>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</si>
  <si>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</si>
  <si>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</si>
  <si>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</si>
  <si>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</si>
  <si>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</si>
  <si>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</si>
  <si>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</si>
  <si>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</si>
  <si>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</si>
  <si>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</si>
  <si>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</si>
  <si>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</si>
  <si>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</si>
  <si>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</si>
  <si>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</si>
  <si>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</si>
  <si>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</si>
  <si>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</si>
  <si>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</si>
  <si>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</si>
  <si>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</si>
  <si>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</si>
  <si>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</si>
  <si>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</si>
  <si>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</si>
  <si>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</si>
  <si>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</si>
  <si>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</si>
  <si>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</si>
  <si>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</si>
  <si>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</si>
  <si>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</si>
  <si>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</si>
  <si>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</si>
  <si>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</si>
  <si>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</si>
  <si>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</si>
  <si>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</si>
  <si>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</si>
  <si>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</si>
  <si>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</si>
  <si>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</si>
  <si>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</si>
  <si>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</si>
  <si>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</si>
  <si>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</si>
  <si>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</si>
  <si>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</si>
  <si>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</si>
  <si>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</si>
  <si>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</si>
  <si>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</si>
  <si>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</si>
  <si>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</si>
  <si>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</si>
  <si>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</si>
  <si>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</si>
  <si>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</si>
  <si>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</si>
  <si>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</si>
  <si>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</si>
  <si>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</si>
  <si>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</si>
  <si>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</si>
  <si>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</si>
  <si>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</si>
  <si>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</si>
  <si>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</si>
  <si>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</si>
  <si>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</si>
  <si>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</si>
  <si>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</si>
  <si>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</si>
  <si>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</si>
  <si>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</si>
  <si>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</si>
  <si>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</si>
  <si>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</si>
  <si>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</si>
  <si>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</si>
  <si>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</si>
  <si>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</si>
  <si>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</si>
  <si>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</si>
  <si>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</si>
  <si>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</si>
  <si>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</si>
  <si>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</si>
  <si>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</si>
  <si>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</si>
  <si>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</si>
  <si>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</si>
  <si>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</si>
  <si>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</si>
  <si>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</si>
  <si>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</si>
  <si>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</si>
  <si>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</si>
  <si>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</si>
  <si>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</si>
  <si>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</si>
  <si>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</si>
  <si>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</si>
  <si>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</si>
  <si>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</si>
  <si>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</si>
  <si>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</si>
  <si>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</si>
  <si>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</si>
  <si>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</si>
  <si>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</si>
  <si>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</si>
  <si>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</si>
  <si>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</si>
  <si>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</si>
  <si>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</si>
  <si>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</si>
  <si>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</si>
  <si>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</si>
  <si>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</si>
  <si>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</si>
  <si>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</si>
  <si>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</si>
  <si>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</si>
  <si>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</si>
  <si>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</si>
  <si>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</si>
  <si>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</si>
  <si>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</si>
  <si>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</si>
  <si>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</si>
  <si>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</si>
  <si>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</si>
  <si>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</si>
  <si>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</si>
  <si>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</si>
  <si>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</si>
  <si>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</si>
  <si>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</si>
  <si>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</si>
  <si>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</si>
  <si>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</si>
  <si>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</si>
  <si>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</si>
  <si>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</si>
  <si>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</si>
  <si>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</si>
  <si>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</si>
  <si>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</si>
  <si>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</si>
  <si>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</si>
  <si>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</si>
  <si>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</si>
  <si>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</si>
  <si>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</si>
  <si>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</si>
  <si>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</si>
  <si>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</si>
  <si>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</si>
  <si>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</si>
  <si>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</si>
  <si>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</si>
  <si>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</si>
  <si>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</si>
  <si>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</si>
  <si>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</si>
  <si>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</si>
  <si>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</si>
  <si>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</si>
  <si>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</si>
  <si>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</si>
  <si>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</si>
  <si>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</si>
  <si>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</si>
  <si>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</si>
  <si>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</si>
  <si>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</si>
  <si>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</si>
  <si>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</si>
  <si>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</si>
  <si>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</si>
  <si>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</si>
  <si>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</si>
  <si>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</si>
  <si>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</si>
  <si>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</si>
  <si>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</si>
  <si>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</si>
  <si>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</si>
  <si>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</si>
  <si>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</si>
  <si>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</si>
  <si>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</si>
  <si>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</si>
  <si>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</si>
  <si>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</si>
  <si>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</si>
  <si>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</si>
  <si>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</si>
  <si>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</si>
  <si>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</si>
  <si>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</si>
  <si>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</si>
  <si>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</si>
  <si>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</si>
  <si>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</si>
  <si>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</si>
  <si>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</si>
  <si>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</si>
  <si>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</si>
  <si>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</si>
  <si>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</si>
  <si>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</si>
  <si>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</si>
  <si>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</si>
  <si>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</si>
  <si>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</si>
  <si>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</si>
  <si>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</si>
  <si>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</si>
  <si>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</si>
  <si>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</si>
  <si>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</si>
  <si>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</si>
  <si>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</si>
  <si>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</si>
  <si>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</si>
  <si>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</si>
  <si>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</si>
  <si>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</si>
  <si>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</si>
  <si>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</si>
  <si>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</si>
  <si>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</si>
  <si>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</si>
  <si>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</si>
  <si>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</si>
  <si>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</si>
  <si>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</si>
  <si>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</si>
  <si>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</si>
  <si>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</si>
  <si>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</si>
  <si>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</si>
  <si>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</si>
  <si>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</si>
  <si>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</si>
  <si>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</si>
  <si>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</si>
  <si>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</si>
  <si>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</si>
  <si>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</si>
  <si>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</si>
  <si>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</si>
  <si>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</si>
  <si>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</si>
  <si>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</si>
  <si>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</si>
  <si>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</si>
  <si>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</si>
  <si>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</si>
  <si>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</si>
  <si>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</si>
  <si>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</si>
  <si>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</si>
  <si>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</si>
  <si>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</si>
  <si>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</si>
  <si>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</si>
  <si>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</si>
  <si>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</si>
  <si>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</si>
  <si>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</si>
  <si>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</si>
  <si>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</si>
  <si>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</si>
  <si>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</si>
  <si>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</si>
  <si>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</si>
  <si>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</si>
  <si>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</si>
  <si>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</si>
  <si>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</si>
  <si>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</si>
  <si>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</si>
  <si>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</si>
  <si>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</si>
  <si>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</si>
  <si>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</si>
  <si>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</si>
  <si>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</si>
  <si>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</si>
  <si>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</si>
  <si>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</si>
  <si>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</si>
  <si>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</si>
  <si>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</si>
  <si>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</si>
  <si>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</si>
  <si>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</si>
  <si>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</si>
  <si>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</si>
  <si>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</si>
  <si>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</si>
  <si>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</si>
  <si>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</si>
  <si>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</si>
  <si>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</si>
  <si>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</si>
  <si>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</si>
  <si>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</si>
  <si>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</si>
  <si>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</si>
  <si>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</si>
  <si>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</si>
  <si>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</si>
  <si>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</si>
  <si>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</si>
  <si>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</si>
  <si>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</si>
  <si>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</si>
  <si>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</si>
  <si>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</si>
  <si>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</si>
  <si>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</si>
  <si>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</si>
  <si>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</si>
  <si>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</si>
  <si>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</si>
  <si>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</si>
  <si>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</si>
  <si>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</si>
  <si>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</si>
  <si>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</si>
  <si>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</si>
  <si>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</si>
  <si>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</si>
  <si>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</si>
  <si>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</si>
  <si>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</si>
  <si>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</si>
  <si>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</si>
  <si>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</si>
  <si>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</si>
  <si>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</si>
  <si>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</si>
  <si>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</si>
  <si>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</si>
  <si>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</si>
  <si>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</si>
  <si>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</si>
  <si>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</si>
  <si>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</si>
  <si>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</si>
  <si>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</si>
  <si>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</si>
  <si>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</si>
  <si>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</si>
  <si>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</si>
  <si>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</si>
  <si>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</si>
  <si>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</si>
  <si>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</si>
  <si>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</si>
  <si>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</si>
  <si>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</si>
  <si>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</si>
  <si>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</si>
  <si>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</si>
  <si>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</si>
  <si>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</si>
  <si>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</si>
  <si>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</si>
  <si>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</si>
  <si>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</si>
  <si>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</si>
  <si>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</si>
  <si>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</si>
  <si>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</si>
  <si>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</si>
  <si>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</si>
  <si>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</si>
  <si>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</si>
  <si>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</si>
  <si>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</si>
  <si>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</si>
  <si>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</si>
  <si>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</si>
  <si>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</si>
  <si>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</si>
  <si>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</si>
  <si>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</si>
  <si>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</si>
  <si>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</si>
  <si>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</si>
  <si>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</si>
  <si>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</si>
  <si>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</si>
  <si>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</si>
  <si>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</si>
  <si>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</si>
  <si>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</si>
  <si>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</si>
  <si>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</si>
  <si>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</si>
  <si>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</si>
  <si>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</si>
  <si>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</si>
  <si>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</si>
  <si>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</si>
  <si>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</si>
  <si>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</si>
  <si>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</si>
  <si>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</si>
  <si>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</si>
  <si>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</si>
  <si>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</si>
  <si>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</si>
  <si>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</si>
  <si>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</si>
  <si>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</si>
  <si>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</si>
  <si>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</si>
  <si>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</si>
  <si>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</si>
  <si>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</si>
  <si>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</si>
  <si>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</si>
  <si>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</si>
  <si>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</si>
  <si>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</si>
  <si>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</si>
  <si>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</si>
  <si>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</si>
  <si>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</si>
  <si>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</si>
  <si>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</si>
  <si>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</si>
  <si>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</si>
  <si>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</si>
  <si>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</si>
  <si>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</si>
  <si>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</si>
  <si>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</si>
  <si>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</si>
  <si>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</si>
  <si>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</si>
  <si>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</si>
  <si>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</si>
  <si>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</si>
  <si>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</si>
  <si>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</si>
  <si>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</si>
  <si>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</si>
  <si>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</si>
  <si>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</si>
  <si>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</si>
  <si>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</si>
  <si>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</si>
  <si>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</si>
  <si>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</si>
  <si>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</si>
  <si>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</si>
  <si>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</si>
  <si>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</si>
  <si>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</si>
  <si>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</si>
  <si>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</si>
  <si>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</si>
  <si>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</si>
  <si>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</si>
  <si>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</si>
  <si>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</si>
  <si>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</si>
  <si>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</si>
  <si>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</si>
  <si>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</si>
  <si>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</si>
  <si>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</si>
  <si>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</si>
  <si>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</si>
  <si>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</si>
  <si>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</si>
  <si>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</si>
  <si>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</si>
  <si>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</si>
  <si>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</si>
  <si>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</si>
  <si>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</si>
  <si>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</si>
  <si>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</si>
  <si>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</si>
  <si>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</si>
  <si>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</si>
  <si>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</si>
  <si>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</si>
  <si>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</si>
  <si>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</si>
  <si>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</si>
  <si>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</si>
  <si>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</si>
  <si>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</si>
  <si>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</si>
  <si>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</si>
  <si>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</si>
  <si>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</si>
  <si>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</si>
  <si>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</si>
  <si>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</si>
  <si>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</si>
  <si>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</si>
  <si>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</si>
  <si>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</si>
  <si>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</si>
  <si>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</si>
  <si>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</si>
  <si>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</si>
  <si>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</si>
  <si>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</si>
  <si>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</si>
  <si>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</si>
  <si>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</si>
  <si>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</si>
  <si>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</si>
  <si>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</si>
  <si>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</si>
  <si>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</si>
  <si>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</si>
  <si>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</si>
  <si>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</si>
  <si>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</si>
  <si>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</si>
  <si>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</si>
  <si>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</si>
  <si>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</si>
  <si>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</si>
  <si>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</si>
  <si>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</si>
  <si>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</si>
  <si>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</si>
  <si>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</si>
  <si>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</si>
  <si>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</si>
  <si>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</si>
  <si>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</si>
  <si>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</si>
  <si>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</si>
  <si>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</si>
  <si>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</si>
  <si>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</si>
  <si>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</si>
  <si>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</si>
  <si>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</si>
  <si>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</si>
  <si>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</si>
  <si>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</si>
  <si>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</si>
  <si>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</si>
  <si>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</si>
  <si>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</si>
  <si>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</si>
  <si>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</si>
  <si>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</si>
  <si>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</si>
  <si>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</si>
  <si>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</si>
  <si>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</si>
  <si>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</si>
  <si>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</si>
  <si>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</si>
  <si>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</si>
  <si>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</si>
  <si>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</si>
  <si>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</si>
  <si>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</si>
  <si>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</si>
  <si>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</si>
  <si>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</si>
  <si>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</si>
  <si>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</si>
  <si>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</si>
  <si>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</si>
  <si>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</si>
  <si>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</si>
  <si>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</si>
  <si>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</si>
  <si>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</si>
  <si>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</si>
  <si>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</si>
  <si>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</si>
  <si>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</si>
  <si>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</si>
  <si>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</si>
  <si>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</si>
  <si>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</si>
  <si>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</si>
  <si>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</si>
  <si>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</si>
  <si>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</si>
  <si>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</si>
  <si>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</si>
  <si>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</si>
  <si>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</si>
  <si>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</si>
  <si>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</si>
  <si>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</si>
  <si>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</si>
  <si>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</si>
  <si>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</si>
  <si>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</si>
  <si>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</si>
  <si>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</si>
  <si>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</si>
  <si>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</si>
  <si>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</si>
  <si>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</si>
  <si>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</si>
  <si>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</si>
  <si>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</si>
  <si>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</si>
  <si>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</si>
  <si>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</si>
  <si>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</si>
  <si>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</si>
  <si>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</si>
  <si>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</si>
  <si>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</si>
  <si>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</si>
  <si>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</si>
  <si>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</si>
  <si>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</si>
  <si>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</si>
  <si>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</si>
  <si>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</si>
  <si>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</si>
  <si>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</si>
  <si>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</si>
  <si>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</si>
  <si>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</si>
  <si>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</si>
  <si>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</si>
  <si>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</si>
  <si>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</si>
  <si>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</si>
  <si>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</si>
  <si>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</si>
  <si>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</si>
  <si>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</si>
  <si>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</si>
  <si>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</si>
  <si>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</si>
  <si>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</si>
  <si>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</si>
  <si>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</si>
  <si>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</si>
  <si>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</si>
  <si>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</si>
  <si>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</si>
  <si>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</si>
  <si>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</si>
  <si>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</si>
  <si>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</si>
  <si>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</si>
  <si>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</si>
  <si>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</si>
  <si>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</si>
  <si>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</si>
  <si>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</si>
  <si>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</si>
  <si>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</si>
  <si>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</si>
  <si>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</si>
  <si>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</si>
  <si>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</si>
  <si>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</si>
  <si>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</si>
  <si>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</si>
  <si>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</si>
  <si>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</si>
  <si>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</si>
  <si>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</si>
  <si>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</si>
  <si>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</si>
  <si>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</si>
  <si>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</si>
  <si>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</si>
  <si>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</si>
  <si>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</si>
  <si>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</si>
  <si>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</si>
  <si>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</si>
  <si>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</si>
  <si>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</si>
  <si>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</si>
  <si>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</si>
  <si>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</si>
  <si>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</si>
  <si>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</si>
  <si>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</si>
  <si>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</si>
  <si>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</si>
  <si>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</si>
  <si>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</si>
  <si>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</si>
  <si>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</si>
  <si>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</si>
  <si>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</si>
  <si>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</si>
  <si>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</si>
  <si>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</si>
  <si>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</si>
  <si>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</si>
  <si>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</si>
  <si>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</si>
  <si>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</si>
  <si>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</si>
  <si>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</si>
  <si>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</si>
  <si>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</si>
  <si>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</si>
  <si>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</si>
  <si>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</si>
  <si>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</si>
  <si>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</si>
  <si>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</si>
  <si>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</si>
  <si>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</si>
  <si>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</si>
  <si>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</si>
  <si>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</si>
  <si>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</si>
  <si>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</si>
  <si>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</si>
  <si>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</si>
  <si>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</si>
  <si>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</si>
  <si>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</si>
  <si>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</si>
  <si>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</si>
  <si>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</si>
  <si>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</si>
  <si>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</si>
  <si>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</si>
  <si>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</si>
  <si>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</si>
  <si>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</si>
  <si>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</si>
  <si>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</si>
  <si>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</si>
  <si>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</si>
  <si>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</si>
  <si>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</si>
  <si>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</si>
  <si>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</si>
  <si>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</si>
  <si>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</si>
  <si>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</si>
  <si>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</si>
  <si>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</si>
  <si>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</si>
  <si>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</si>
  <si>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</si>
  <si>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</si>
  <si>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</si>
  <si>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</si>
  <si>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</si>
  <si>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</si>
  <si>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</si>
  <si>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</si>
  <si>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</si>
  <si>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</si>
  <si>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</si>
  <si>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</si>
  <si>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</si>
  <si>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</si>
  <si>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</si>
  <si>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</si>
  <si>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</si>
  <si>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</si>
  <si>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</si>
  <si>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</si>
  <si>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</si>
  <si>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</si>
  <si>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</si>
  <si>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</si>
  <si>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</si>
  <si>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</si>
  <si>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</si>
  <si>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</si>
  <si>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</si>
  <si>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</si>
  <si>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</si>
  <si>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</si>
  <si>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</si>
  <si>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</si>
  <si>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</si>
  <si>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</si>
  <si>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</si>
  <si>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</si>
  <si>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</si>
  <si>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</si>
  <si>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</si>
  <si>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</si>
  <si>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</si>
  <si>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</si>
  <si>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</si>
  <si>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</si>
  <si>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</si>
  <si>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</si>
  <si>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</si>
  <si>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</si>
  <si>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</si>
  <si>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</si>
  <si>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</si>
  <si>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</si>
  <si>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</si>
  <si>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</si>
  <si>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</si>
  <si>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</si>
  <si>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</si>
  <si>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</si>
  <si>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</si>
  <si>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</si>
  <si>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</si>
  <si>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</si>
  <si>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</si>
  <si>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</si>
  <si>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</si>
  <si>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</si>
  <si>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</si>
  <si>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</si>
  <si>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</si>
  <si>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</si>
  <si>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</si>
  <si>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</si>
  <si>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</si>
  <si>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</si>
  <si>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</si>
  <si>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</si>
  <si>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</si>
  <si>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</si>
  <si>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</si>
  <si>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</si>
  <si>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</si>
  <si>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</si>
  <si>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</si>
  <si>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</si>
  <si>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</si>
  <si>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</si>
  <si>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</si>
  <si>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</si>
  <si>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</si>
  <si>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</si>
  <si>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</si>
  <si>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</si>
  <si>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</si>
  <si>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</si>
  <si>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</si>
  <si>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</si>
  <si>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</si>
  <si>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</si>
  <si>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</si>
  <si>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</si>
  <si>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</si>
  <si>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</si>
  <si>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</si>
  <si>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</si>
  <si>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</si>
  <si>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</si>
  <si>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</si>
  <si>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</si>
  <si>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</si>
  <si>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</si>
  <si>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</si>
  <si>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</si>
  <si>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</si>
  <si>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</si>
  <si>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</si>
  <si>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</si>
  <si>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</si>
  <si>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</si>
  <si>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</si>
  <si>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</si>
  <si>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</si>
  <si>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</si>
  <si>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</si>
  <si>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</si>
  <si>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</si>
  <si>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</si>
  <si>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</si>
  <si>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</si>
  <si>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</si>
  <si>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</si>
  <si>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</si>
  <si>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</si>
  <si>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</si>
  <si>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</si>
  <si>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</si>
  <si>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</si>
  <si>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</si>
  <si>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</si>
  <si>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</si>
  <si>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</si>
  <si>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</si>
  <si>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</si>
  <si>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</si>
  <si>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</si>
  <si>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</si>
  <si>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</si>
  <si>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</si>
  <si>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</si>
  <si>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</si>
  <si>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</si>
  <si>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</si>
  <si>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</si>
  <si>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</si>
  <si>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</si>
  <si>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</si>
  <si>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</si>
  <si>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</si>
  <si>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</si>
  <si>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</si>
  <si>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</si>
  <si>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</si>
  <si>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</si>
  <si>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</si>
  <si>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</si>
  <si>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</si>
  <si>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</si>
  <si>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</si>
  <si>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</si>
  <si>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</si>
  <si>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</si>
  <si>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</si>
  <si>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</si>
  <si>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</si>
  <si>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</si>
  <si>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</si>
  <si>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</si>
  <si>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</si>
  <si>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</si>
  <si>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</si>
  <si>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</si>
  <si>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</si>
  <si>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</si>
  <si>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</si>
  <si>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</si>
  <si>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</si>
  <si>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</si>
  <si>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</si>
  <si>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</si>
  <si>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</si>
  <si>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</si>
  <si>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</si>
  <si>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</si>
  <si>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</si>
  <si>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</si>
  <si>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</si>
  <si>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</si>
  <si>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</si>
  <si>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</si>
  <si>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</si>
  <si>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</si>
  <si>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</si>
  <si>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</si>
  <si>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</si>
  <si>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</si>
  <si>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</si>
  <si>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</si>
  <si>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</si>
  <si>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</si>
  <si>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</si>
  <si>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</si>
  <si>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</si>
  <si>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</si>
  <si>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</si>
  <si>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</si>
  <si>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</si>
  <si>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</si>
  <si>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</si>
  <si>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</si>
  <si>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</si>
  <si>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</si>
  <si>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</si>
  <si>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</si>
  <si>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</si>
  <si>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</si>
  <si>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</si>
  <si>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</si>
  <si>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</si>
  <si>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</si>
  <si>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</si>
  <si>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</si>
  <si>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</si>
  <si>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</si>
  <si>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</si>
  <si>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</si>
  <si>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</si>
  <si>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</si>
  <si>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</si>
  <si>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</si>
  <si>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</si>
  <si>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</si>
  <si>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</si>
  <si>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</si>
  <si>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</si>
  <si>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</si>
  <si>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</si>
  <si>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</si>
  <si>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</si>
  <si>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</si>
  <si>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</si>
  <si>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</si>
  <si>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</si>
  <si>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</si>
  <si>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</si>
  <si>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</si>
  <si>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</si>
  <si>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</si>
  <si>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</si>
  <si>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</si>
  <si>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</si>
  <si>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</si>
  <si>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</si>
  <si>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</si>
  <si>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</si>
  <si>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</si>
  <si>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</si>
  <si>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</si>
  <si>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</si>
  <si>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</si>
  <si>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</si>
  <si>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</si>
  <si>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</si>
  <si>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</si>
  <si>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</si>
  <si>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</si>
  <si>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</si>
  <si>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</si>
  <si>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</si>
  <si>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</si>
  <si>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</si>
  <si>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</si>
  <si>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</si>
  <si>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</si>
  <si>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</si>
  <si>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</si>
  <si>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</si>
  <si>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</si>
  <si>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</si>
  <si>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</si>
  <si>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</si>
  <si>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</si>
  <si>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</si>
  <si>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</si>
  <si>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</si>
  <si>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</si>
  <si>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</si>
  <si>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</si>
  <si>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</si>
  <si>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</si>
  <si>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</si>
  <si>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</si>
  <si>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</si>
  <si>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</si>
  <si>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</si>
  <si>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</si>
  <si>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</si>
  <si>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</si>
  <si>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</si>
  <si>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</si>
  <si>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</si>
  <si>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</si>
  <si>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</si>
  <si>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</si>
  <si>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</si>
  <si>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</si>
  <si>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</si>
  <si>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</si>
  <si>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</si>
  <si>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</si>
  <si>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</si>
  <si>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</si>
  <si>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</si>
  <si>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</si>
  <si>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</si>
  <si>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</si>
  <si>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</si>
  <si>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</si>
  <si>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</si>
  <si>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</si>
  <si>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</si>
  <si>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</si>
  <si>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</si>
  <si>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</si>
  <si>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</si>
  <si>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</si>
  <si>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</si>
  <si>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</si>
  <si>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</si>
  <si>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</si>
  <si>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</si>
  <si>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</si>
  <si>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</si>
  <si>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</si>
  <si>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</si>
  <si>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</si>
  <si>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</si>
  <si>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</si>
  <si>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</si>
  <si>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</si>
  <si>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</si>
  <si>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</si>
  <si>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</si>
  <si>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</si>
  <si>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</si>
  <si>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</si>
  <si>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</si>
  <si>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</si>
  <si>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</si>
  <si>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</si>
  <si>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</si>
  <si>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</si>
  <si>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</si>
  <si>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</si>
  <si>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</si>
  <si>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</si>
  <si>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</si>
  <si>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</si>
  <si>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</si>
  <si>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</si>
  <si>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</si>
  <si>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</si>
  <si>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</si>
  <si>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</si>
  <si>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</si>
  <si>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</si>
  <si>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</si>
  <si>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</si>
  <si>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</si>
  <si>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</si>
  <si>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</si>
  <si>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</si>
  <si>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</si>
  <si>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</si>
  <si>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</si>
  <si>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</si>
  <si>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</si>
  <si>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</si>
  <si>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</si>
  <si>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</si>
  <si>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</si>
  <si>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</si>
  <si>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</si>
  <si>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</si>
  <si>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</si>
  <si>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</si>
  <si>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</si>
  <si>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</si>
  <si>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</si>
  <si>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</si>
  <si>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</si>
  <si>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</si>
  <si>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</si>
  <si>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</si>
  <si>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</si>
  <si>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</si>
  <si>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</si>
  <si>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</si>
  <si>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</si>
  <si>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</si>
  <si>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</si>
  <si>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</si>
  <si>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</si>
  <si>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</si>
  <si>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</si>
  <si>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</si>
  <si>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</si>
  <si>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</si>
  <si>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</si>
  <si>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</si>
  <si>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</si>
  <si>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</si>
  <si>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</si>
  <si>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</si>
  <si>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</si>
  <si>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</si>
  <si>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</si>
  <si>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</si>
  <si>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</si>
  <si>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</si>
  <si>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</si>
  <si>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</si>
  <si>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</si>
  <si>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</si>
  <si>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</si>
  <si>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</si>
  <si>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</si>
  <si>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</si>
  <si>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</si>
  <si>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</si>
  <si>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</si>
  <si>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</si>
  <si>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</si>
  <si>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</si>
  <si>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</si>
  <si>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</si>
  <si>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</si>
  <si>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</si>
  <si>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</si>
  <si>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</si>
  <si>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</si>
  <si>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</si>
  <si>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</si>
  <si>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</si>
  <si>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</si>
  <si>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</si>
  <si>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</si>
  <si>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</si>
  <si>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</si>
  <si>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</si>
  <si>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</si>
  <si>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</si>
  <si>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</si>
  <si>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</si>
  <si>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</si>
  <si>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</si>
  <si>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</si>
  <si>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</si>
  <si>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</si>
  <si>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</si>
  <si>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</si>
  <si>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</si>
  <si>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</si>
  <si>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</si>
  <si>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</si>
  <si>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</si>
  <si>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</si>
  <si>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</si>
  <si>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</si>
  <si>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</si>
  <si>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</si>
  <si>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</si>
  <si>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</si>
  <si>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</si>
  <si>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</si>
  <si>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</si>
  <si>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</si>
  <si>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</si>
  <si>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</si>
  <si>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</si>
  <si>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</si>
  <si>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</si>
  <si>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</si>
  <si>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</si>
  <si>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</si>
  <si>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</si>
  <si>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</si>
  <si>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</si>
  <si>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</si>
  <si>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</si>
  <si>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</si>
  <si>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</si>
  <si>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</si>
  <si>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</si>
  <si>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</si>
  <si>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</si>
  <si>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</si>
  <si>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</si>
  <si>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</si>
  <si>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</si>
  <si>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</si>
  <si>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</si>
  <si>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</si>
  <si>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</si>
  <si>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</si>
  <si>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</si>
  <si>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</si>
  <si>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</si>
  <si>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</si>
  <si>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</si>
  <si>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</si>
  <si>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</si>
  <si>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</si>
  <si>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</si>
  <si>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</si>
  <si>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</si>
  <si>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</si>
  <si>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</si>
  <si>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</si>
  <si>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</si>
  <si>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</si>
  <si>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</si>
  <si>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</si>
  <si>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</si>
  <si>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</si>
  <si>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</si>
  <si>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</si>
  <si>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</si>
  <si>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</si>
  <si>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</si>
  <si>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</si>
  <si>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</si>
  <si>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</si>
  <si>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</si>
  <si>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</si>
  <si>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</si>
  <si>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</si>
  <si>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</si>
  <si>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</si>
  <si>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</si>
  <si>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</si>
  <si>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</si>
  <si>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</si>
  <si>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</si>
  <si>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</si>
  <si>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</si>
  <si>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</si>
  <si>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</si>
  <si>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</si>
  <si>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</si>
  <si>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</si>
  <si>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</si>
  <si>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</si>
  <si>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</si>
  <si>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</si>
  <si>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</si>
  <si>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</si>
  <si>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</si>
  <si>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</si>
  <si>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</si>
  <si>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</si>
  <si>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</si>
  <si>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</si>
  <si>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</si>
  <si>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</si>
  <si>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</si>
  <si>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</si>
  <si>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</si>
  <si>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</si>
  <si>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</si>
  <si>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</si>
  <si>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</si>
  <si>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</si>
  <si>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</si>
  <si>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</si>
  <si>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</si>
  <si>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</si>
  <si>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</si>
  <si>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</si>
  <si>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</si>
  <si>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</si>
  <si>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</si>
  <si>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</si>
  <si>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</si>
  <si>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</si>
  <si>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</si>
  <si>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</si>
  <si>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</si>
  <si>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</si>
  <si>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</si>
  <si>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</si>
  <si>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</si>
  <si>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</si>
  <si>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</si>
  <si>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</si>
  <si>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</si>
  <si>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</si>
  <si>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</si>
  <si>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</si>
  <si>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</si>
  <si>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</si>
  <si>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</si>
  <si>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</si>
  <si>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</si>
  <si>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</si>
  <si>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</si>
  <si>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</si>
  <si>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</si>
  <si>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</si>
  <si>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</si>
  <si>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</si>
  <si>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</si>
  <si>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</si>
  <si>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</si>
  <si>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</si>
  <si>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</si>
  <si>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</si>
  <si>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</si>
  <si>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</si>
  <si>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</si>
  <si>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</si>
  <si>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</si>
  <si>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</si>
  <si>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</si>
  <si>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</si>
  <si>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</si>
  <si>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</si>
  <si>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</si>
  <si>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</si>
  <si>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</si>
  <si>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</si>
  <si>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</si>
  <si>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</si>
  <si>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</si>
  <si>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</si>
  <si>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</si>
  <si>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</si>
  <si>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</si>
  <si>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</si>
  <si>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</si>
  <si>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</si>
  <si>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</si>
  <si>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</si>
  <si>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</si>
  <si>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</si>
  <si>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</si>
  <si>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</si>
  <si>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</si>
  <si>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</si>
  <si>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</si>
  <si>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</si>
  <si>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</si>
  <si>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</si>
  <si>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</si>
  <si>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</si>
  <si>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</si>
  <si>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</si>
  <si>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</si>
  <si>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</si>
  <si>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</si>
  <si>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</si>
  <si>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</si>
  <si>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</si>
  <si>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</si>
  <si>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</si>
  <si>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</si>
  <si>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</si>
  <si>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</si>
  <si>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</si>
  <si>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</si>
  <si>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</si>
  <si>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</si>
  <si>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</si>
  <si>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</si>
  <si>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</si>
  <si>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</si>
  <si>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</si>
  <si>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</si>
  <si>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</si>
  <si>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</si>
  <si>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</si>
  <si>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</si>
  <si>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</si>
  <si>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</si>
  <si>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</si>
  <si>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</si>
  <si>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</si>
  <si>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</si>
  <si>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</si>
  <si>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</si>
  <si>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</si>
  <si>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</si>
  <si>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</si>
  <si>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</si>
  <si>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</si>
  <si>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</si>
  <si>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</si>
  <si>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</si>
  <si>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</si>
  <si>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</si>
  <si>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</si>
  <si>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</si>
  <si>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</si>
  <si>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</si>
  <si>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</si>
  <si>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</si>
  <si>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</si>
  <si>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</si>
  <si>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</si>
  <si>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</si>
  <si>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</si>
  <si>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</si>
  <si>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</si>
  <si>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</si>
  <si>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</si>
  <si>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</si>
  <si>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</si>
  <si>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</si>
  <si>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</si>
  <si>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</si>
  <si>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</si>
  <si>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</si>
  <si>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</si>
  <si>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</si>
  <si>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</si>
  <si>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</si>
  <si>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</si>
  <si>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</si>
  <si>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</si>
  <si>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</si>
  <si>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</si>
  <si>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</si>
  <si>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</si>
  <si>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</si>
  <si>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</si>
  <si>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</si>
  <si>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</si>
  <si>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</si>
  <si>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</si>
  <si>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</si>
  <si>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</si>
  <si>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</si>
  <si>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</si>
  <si>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</si>
  <si>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</si>
  <si>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</si>
  <si>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</si>
  <si>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</si>
  <si>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</si>
  <si>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</si>
  <si>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</si>
  <si>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</si>
  <si>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</si>
  <si>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</si>
  <si>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</si>
  <si>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</si>
  <si>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</si>
  <si>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</si>
  <si>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</si>
  <si>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</si>
  <si>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</si>
  <si>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</si>
  <si>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</si>
  <si>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</si>
  <si>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</si>
  <si>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</si>
  <si>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</si>
  <si>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</si>
  <si>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</si>
  <si>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</si>
  <si>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</si>
  <si>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</si>
  <si>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</si>
  <si>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</si>
  <si>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</si>
  <si>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</si>
  <si>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</si>
  <si>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</si>
  <si>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</si>
  <si>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</si>
  <si>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</si>
  <si>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</si>
  <si>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</si>
  <si>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</si>
  <si>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</si>
  <si>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</si>
  <si>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</si>
  <si>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</si>
  <si>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</si>
  <si>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</si>
  <si>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</si>
  <si>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</si>
  <si>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</si>
  <si>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</si>
  <si>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</si>
  <si>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</si>
  <si>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</si>
  <si>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</si>
  <si>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</si>
  <si>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</si>
  <si>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</si>
  <si>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</si>
  <si>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</si>
  <si>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</si>
  <si>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</si>
  <si>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</si>
  <si>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</si>
  <si>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</si>
  <si>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</si>
  <si>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</si>
  <si>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</si>
  <si>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</si>
  <si>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</si>
  <si>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</si>
  <si>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</si>
  <si>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</si>
  <si>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</si>
  <si>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</si>
  <si>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</si>
  <si>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</si>
  <si>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</si>
  <si>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</si>
  <si>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</si>
  <si>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</si>
  <si>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</si>
  <si>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</si>
  <si>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</si>
  <si>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</si>
  <si>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</si>
  <si>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</si>
  <si>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</si>
  <si>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</si>
  <si>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</si>
  <si>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</si>
  <si>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</si>
  <si>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</si>
  <si>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</si>
  <si>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</si>
  <si>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</si>
  <si>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</si>
  <si>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</si>
  <si>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</si>
  <si>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</si>
  <si>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</si>
  <si>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</si>
  <si>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</si>
  <si>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</si>
  <si>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</si>
  <si>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</si>
  <si>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</si>
  <si>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</si>
  <si>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</si>
  <si>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</si>
  <si>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</si>
  <si>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</si>
  <si>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</si>
  <si>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</si>
  <si>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</si>
  <si>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</si>
  <si>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</si>
  <si>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</si>
  <si>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</si>
  <si>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</si>
  <si>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</si>
  <si>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</si>
  <si>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</si>
  <si>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</si>
  <si>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</si>
  <si>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</si>
  <si>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</si>
  <si>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</si>
  <si>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</si>
  <si>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</si>
  <si>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</si>
  <si>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</si>
  <si>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</si>
  <si>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</si>
  <si>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</si>
  <si>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</si>
  <si>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</si>
  <si>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</si>
  <si>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</si>
  <si>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</si>
  <si>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</si>
  <si>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</si>
  <si>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</si>
  <si>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</si>
  <si>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</si>
  <si>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</si>
  <si>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</si>
  <si>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</si>
  <si>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</si>
  <si>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</si>
  <si>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</si>
  <si>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</si>
  <si>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</si>
  <si>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</si>
  <si>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</si>
  <si>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</si>
  <si>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</si>
  <si>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44.78742, -93.14009</t>
  </si>
  <si>
    <t>LHRP HL-4-W2</t>
  </si>
  <si>
    <t>MS, KB</t>
  </si>
  <si>
    <t>dakota</t>
  </si>
  <si>
    <t>Vinca minor</t>
  </si>
  <si>
    <t>Athyrium Filix-femina</t>
  </si>
  <si>
    <t>Periwinkle</t>
  </si>
  <si>
    <t>Unknown grass 2</t>
  </si>
  <si>
    <t>Unknown grass 1</t>
  </si>
  <si>
    <t>LHHL42021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</si>
</sst>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49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0" xfId="0"/>
    <xf numFmtId="0" fontId="4" fillId="0" borderId="25" xfId="1" applyFont="1" applyBorder="1"/>
    <xf numFmtId="0" fontId="4" fillId="0" borderId="26" xfId="1" applyFont="1" applyBorder="1"/>
    <xf numFmtId="0" fontId="4" fillId="0" borderId="25" xfId="1" applyFont="1" applyBorder="1" applyAlignment="1">
      <alignment horizontal="left"/>
    </xf>
    <xf numFmtId="0" fontId="4" fillId="0" borderId="33" xfId="1" applyFont="1" applyBorder="1"/>
    <xf numFmtId="0" fontId="4" fillId="0" borderId="25" xfId="0" applyFont="1" applyBorder="1"/>
    <xf numFmtId="0" fontId="4" fillId="0" borderId="34" xfId="1" applyFont="1" applyBorder="1"/>
    <xf numFmtId="0" fontId="4" fillId="0" borderId="0" xfId="1" applyFont="1"/>
    <xf numFmtId="0" fontId="8" fillId="0" borderId="26" xfId="1" applyBorder="1" applyAlignment="1">
      <alignment horizontal="left"/>
    </xf>
    <xf numFmtId="0" fontId="8" fillId="0" borderId="25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8" fillId="0" borderId="25" xfId="1" applyBorder="1" applyAlignment="1">
      <alignment horizontal="center"/>
    </xf>
    <xf numFmtId="0" fontId="4" fillId="0" borderId="35" xfId="1" applyFont="1" applyBorder="1"/>
    <xf numFmtId="0" fontId="8" fillId="0" borderId="36" xfId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5" t="s">
        <v>57</v>
      </c>
      <c r="B2" s="135"/>
      <c r="C2" s="135"/>
      <c r="D2" s="135"/>
      <c r="E2" s="135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7" t="s">
        <v>5401</v>
      </c>
      <c r="B22" s="137"/>
      <c r="C22" s="137"/>
      <c r="D22" s="137"/>
      <c r="E22" s="137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6" t="s">
        <v>5402</v>
      </c>
      <c r="B24" s="136"/>
      <c r="C24" s="136"/>
      <c r="D24" s="136"/>
      <c r="E24" s="136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6" t="s">
        <v>61</v>
      </c>
      <c r="B39" s="136"/>
      <c r="C39" s="136"/>
      <c r="D39" s="136"/>
      <c r="E39" s="136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6" t="s">
        <v>62</v>
      </c>
      <c r="B45" s="136"/>
      <c r="C45" s="136"/>
      <c r="D45" s="136"/>
      <c r="E45" s="136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31" t="s">
        <v>43</v>
      </c>
      <c r="B93" s="132"/>
      <c r="C93" s="134"/>
      <c r="D93" s="138" t="s">
        <v>44</v>
      </c>
      <c r="E93" s="133"/>
    </row>
    <row r="94" spans="1:5" x14ac:dyDescent="0.2">
      <c r="A94" s="73" t="s">
        <v>23</v>
      </c>
      <c r="B94" s="129" t="s">
        <v>30</v>
      </c>
      <c r="C94" s="130"/>
      <c r="D94" s="3" t="s">
        <v>46</v>
      </c>
      <c r="E94" s="9">
        <v>8</v>
      </c>
    </row>
    <row r="95" spans="1:5" x14ac:dyDescent="0.2">
      <c r="A95" s="73" t="s">
        <v>24</v>
      </c>
      <c r="B95" s="125" t="s">
        <v>31</v>
      </c>
      <c r="C95" s="126"/>
      <c r="D95" s="3" t="s">
        <v>47</v>
      </c>
      <c r="E95" s="9">
        <v>7</v>
      </c>
    </row>
    <row r="96" spans="1:5" x14ac:dyDescent="0.2">
      <c r="A96" s="73" t="s">
        <v>3</v>
      </c>
      <c r="B96" s="125" t="s">
        <v>32</v>
      </c>
      <c r="C96" s="126"/>
      <c r="D96" s="3" t="s">
        <v>48</v>
      </c>
      <c r="E96" s="9">
        <v>6</v>
      </c>
    </row>
    <row r="97" spans="1:5" x14ac:dyDescent="0.2">
      <c r="A97" s="73" t="s">
        <v>25</v>
      </c>
      <c r="B97" s="125" t="s">
        <v>33</v>
      </c>
      <c r="C97" s="126"/>
      <c r="D97" s="3" t="s">
        <v>49</v>
      </c>
      <c r="E97" s="9">
        <v>5</v>
      </c>
    </row>
    <row r="98" spans="1:5" x14ac:dyDescent="0.2">
      <c r="A98" s="73" t="s">
        <v>26</v>
      </c>
      <c r="B98" s="125" t="s">
        <v>34</v>
      </c>
      <c r="C98" s="126"/>
      <c r="D98" s="3" t="s">
        <v>50</v>
      </c>
      <c r="E98" s="9">
        <v>4</v>
      </c>
    </row>
    <row r="99" spans="1:5" x14ac:dyDescent="0.2">
      <c r="A99" s="73" t="s">
        <v>27</v>
      </c>
      <c r="B99" s="125" t="s">
        <v>35</v>
      </c>
      <c r="C99" s="126"/>
      <c r="D99" s="3" t="s">
        <v>4</v>
      </c>
      <c r="E99" s="9">
        <v>3</v>
      </c>
    </row>
    <row r="100" spans="1:5" x14ac:dyDescent="0.2">
      <c r="A100" s="73" t="s">
        <v>2</v>
      </c>
      <c r="B100" s="125" t="s">
        <v>36</v>
      </c>
      <c r="C100" s="126"/>
      <c r="D100" s="3" t="s">
        <v>5</v>
      </c>
      <c r="E100" s="9">
        <v>2</v>
      </c>
    </row>
    <row r="101" spans="1:5" x14ac:dyDescent="0.2">
      <c r="A101" s="73" t="s">
        <v>28</v>
      </c>
      <c r="B101" s="125" t="s">
        <v>37</v>
      </c>
      <c r="C101" s="126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27" t="s">
        <v>38</v>
      </c>
      <c r="C102" s="128"/>
      <c r="D102" s="5"/>
      <c r="E102" s="8"/>
    </row>
    <row r="103" spans="1:5" ht="13.2" thickBot="1" x14ac:dyDescent="0.25">
      <c r="A103" s="131" t="s">
        <v>68</v>
      </c>
      <c r="B103" s="132"/>
      <c r="C103" s="134"/>
      <c r="D103" s="138" t="s">
        <v>45</v>
      </c>
      <c r="E103" s="133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31" t="s">
        <v>21</v>
      </c>
      <c r="B112" s="132"/>
      <c r="C112" s="133"/>
    </row>
    <row r="113" spans="1:3" x14ac:dyDescent="0.2">
      <c r="A113" s="73">
        <v>1</v>
      </c>
      <c r="B113" s="129" t="s">
        <v>40</v>
      </c>
      <c r="C113" s="130"/>
    </row>
    <row r="114" spans="1:3" x14ac:dyDescent="0.2">
      <c r="A114" s="73" t="s">
        <v>39</v>
      </c>
      <c r="B114" s="125" t="s">
        <v>41</v>
      </c>
      <c r="C114" s="126"/>
    </row>
    <row r="115" spans="1:3" x14ac:dyDescent="0.2">
      <c r="A115" s="74" t="s">
        <v>15</v>
      </c>
      <c r="B115" s="123" t="s">
        <v>42</v>
      </c>
      <c r="C115" s="124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5" t="s">
        <v>127</v>
      </c>
      <c r="B1" s="135"/>
      <c r="C1" s="135"/>
      <c r="D1" s="135"/>
      <c r="E1" s="135"/>
      <c r="F1" s="135"/>
      <c r="G1" s="135"/>
      <c r="H1" s="14"/>
    </row>
    <row r="2" spans="1:14" x14ac:dyDescent="0.2">
      <c r="A2" s="141" t="s">
        <v>138</v>
      </c>
      <c r="B2" s="141"/>
      <c r="C2" s="15"/>
      <c r="D2" s="15"/>
      <c r="E2" s="15"/>
      <c r="F2" s="15"/>
      <c r="G2" s="15"/>
      <c r="H2" s="15"/>
    </row>
    <row r="3" spans="1:14" x14ac:dyDescent="0.2">
      <c r="A3" s="142" t="s">
        <v>52</v>
      </c>
      <c r="B3" s="142"/>
      <c r="C3" s="15"/>
      <c r="D3" s="15"/>
      <c r="E3" s="15"/>
      <c r="F3" s="15"/>
      <c r="G3" s="15"/>
      <c r="H3" s="15"/>
    </row>
    <row r="4" spans="1:14" x14ac:dyDescent="0.2">
      <c r="A4" s="142" t="s">
        <v>55</v>
      </c>
      <c r="B4" s="142"/>
      <c r="C4" s="15"/>
      <c r="D4" s="15"/>
      <c r="E4" s="15"/>
      <c r="F4" s="15"/>
      <c r="G4" s="15"/>
      <c r="H4" s="15"/>
    </row>
    <row r="5" spans="1:14" x14ac:dyDescent="0.2">
      <c r="A5" s="142" t="s">
        <v>51</v>
      </c>
      <c r="B5" s="142"/>
      <c r="C5" s="15"/>
      <c r="D5" s="15"/>
      <c r="E5" s="15"/>
      <c r="F5" s="15"/>
      <c r="G5" s="15"/>
      <c r="H5" s="15"/>
    </row>
    <row r="6" spans="1:14" x14ac:dyDescent="0.2">
      <c r="A6" s="139" t="s">
        <v>128</v>
      </c>
      <c r="B6" s="139"/>
    </row>
    <row r="7" spans="1:14" x14ac:dyDescent="0.2">
      <c r="A7" s="139" t="s">
        <v>129</v>
      </c>
      <c r="B7" s="139"/>
      <c r="C7" s="140"/>
      <c r="D7" s="140"/>
      <c r="E7" s="140"/>
      <c r="F7" s="140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3070" zoomScale="70" zoomScaleNormal="70" workbookViewId="0">
      <selection activeCell="A49" sqref="A49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28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 t="s">
        <v>5440</v>
      </c>
      <c r="C2" s="46" t="s">
        <v>5448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 t="s">
        <v>5441</v>
      </c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 t="s">
        <v>5442</v>
      </c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>
        <v>42909</v>
      </c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92" t="s">
        <v>5439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9" t="s">
        <v>3698</v>
      </c>
      <c r="B12" s="44" t="str">
        <f>IF(LEN(VLOOKUP(A12,'Species List'!$A:$G,2,FALSE))=0,"",VLOOKUP(A12,'Species List'!$A:$G,2,FALSE))</f>
        <v>northern red oak</v>
      </c>
      <c r="C12" s="44">
        <f>IF(LEN(VLOOKUP(A12,'Species List'!$A:$G,3,FALSE))=0,"",VLOOKUP(A12,'Species List'!$A:$G,3,FALSE))</f>
        <v>5</v>
      </c>
      <c r="D12" s="103">
        <f>VALUE(C12)</f>
        <v>5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95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88">
        <f t="shared" ref="N12:N52" si="0">L12/$L$128</f>
        <v>0.1</v>
      </c>
      <c r="O12" s="88">
        <f>D12*N12</f>
        <v>0.5</v>
      </c>
    </row>
    <row r="13" spans="1:15" x14ac:dyDescent="0.2">
      <c r="A13" s="109" t="s">
        <v>3538</v>
      </c>
      <c r="B13" s="44" t="str">
        <f>IF(LEN(VLOOKUP(A13,'Species List'!$A:$G,2,FALSE))=0,"",VLOOKUP(A13,'Species List'!$A:$G,2,FALSE))</f>
        <v>quaking aspen</v>
      </c>
      <c r="C13" s="44">
        <f>IF(LEN(VLOOKUP(A13,'Species List'!$A:$G,3,FALSE))=0,"",VLOOKUP(A13,'Species List'!$A:$G,3,FALSE))</f>
        <v>2</v>
      </c>
      <c r="D13" s="103">
        <f t="shared" ref="D13:D53" si="1">VALUE(C13)</f>
        <v>2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[FAC]</v>
      </c>
      <c r="H13" s="44">
        <f>VLOOKUP(A13,'Species List'!$A:$G,7,FALSE)</f>
        <v>0</v>
      </c>
      <c r="J13" s="95">
        <v>3</v>
      </c>
      <c r="K13" s="47" t="str">
        <f>VLOOKUP(J13,'Species List'!$H$1:$J$9,2,FALSE)</f>
        <v>&gt;25-50%</v>
      </c>
      <c r="L13" s="47">
        <f>VLOOKUP(K13,'Species List'!$I$1:$N$8,2,FALSE)</f>
        <v>37.5</v>
      </c>
      <c r="M13" s="104">
        <f t="shared" ref="M13:M53" si="2">VALUE(L13)</f>
        <v>37.5</v>
      </c>
      <c r="N13" s="88">
        <f t="shared" si="0"/>
        <v>0.25</v>
      </c>
      <c r="O13" s="102">
        <f t="shared" ref="O13:O53" si="3">D13*N13</f>
        <v>0.5</v>
      </c>
    </row>
    <row r="14" spans="1:15" x14ac:dyDescent="0.2">
      <c r="A14" s="109" t="s">
        <v>3656</v>
      </c>
      <c r="B14" s="44" t="str">
        <f>IF(LEN(VLOOKUP(A14,'Species List'!$A:$G,2,FALSE))=0,"",VLOOKUP(A14,'Species List'!$A:$G,2,FALSE))</f>
        <v>black cherry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[FACU]</v>
      </c>
      <c r="H14" s="44">
        <f>VLOOKUP(A14,'Species List'!$A:$G,7,FALSE)</f>
        <v>0</v>
      </c>
      <c r="J14" s="95">
        <v>2</v>
      </c>
      <c r="K14" s="47" t="str">
        <f>VLOOKUP(J14,'Species List'!$H$1:$J$9,2,FALSE)</f>
        <v>&gt;5-25%</v>
      </c>
      <c r="L14" s="47">
        <f>VLOOKUP(K14,'Species List'!$I$1:$N$8,2,FALSE)</f>
        <v>15</v>
      </c>
      <c r="M14" s="104">
        <f t="shared" si="2"/>
        <v>15</v>
      </c>
      <c r="N14" s="88">
        <f t="shared" si="0"/>
        <v>0.1</v>
      </c>
      <c r="O14" s="102">
        <f t="shared" si="3"/>
        <v>0.4</v>
      </c>
    </row>
    <row r="15" spans="1:15" x14ac:dyDescent="0.2">
      <c r="A15" s="109" t="s">
        <v>162</v>
      </c>
      <c r="B15" s="44" t="str">
        <f>IF(LEN(VLOOKUP(A15,'Species List'!$A:$G,2,FALSE))=0,"",VLOOKUP(A15,'Species List'!$A:$G,2,FALSE))</f>
        <v>box elder</v>
      </c>
      <c r="C15" s="44">
        <f>IF(LEN(VLOOKUP(A15,'Species List'!$A:$G,3,FALSE))=0,"",VLOOKUP(A15,'Species List'!$A:$G,3,FALSE))</f>
        <v>1</v>
      </c>
      <c r="D15" s="103">
        <f t="shared" si="1"/>
        <v>1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FACW-</v>
      </c>
      <c r="H15" s="44">
        <f>VLOOKUP(A15,'Species List'!$A:$G,7,FALSE)</f>
        <v>0</v>
      </c>
      <c r="J15" s="95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2"/>
        <v>15</v>
      </c>
      <c r="N15" s="88">
        <f t="shared" si="0"/>
        <v>0.1</v>
      </c>
      <c r="O15" s="102">
        <f t="shared" si="3"/>
        <v>0.1</v>
      </c>
    </row>
    <row r="16" spans="1:15" x14ac:dyDescent="0.2">
      <c r="A16" s="109" t="s">
        <v>4598</v>
      </c>
      <c r="B16" s="44" t="str">
        <f>IF(LEN(VLOOKUP(A16,'Species List'!$A:$G,2,FALSE))=0,"",VLOOKUP(A16,'Species List'!$A:$G,2,FALSE))</f>
        <v>American elm</v>
      </c>
      <c r="C16" s="44">
        <f>IF(LEN(VLOOKUP(A16,'Species List'!$A:$G,3,FALSE))=0,"",VLOOKUP(A16,'Species List'!$A:$G,3,FALSE))</f>
        <v>3</v>
      </c>
      <c r="D16" s="103">
        <f t="shared" si="1"/>
        <v>3</v>
      </c>
      <c r="E16" s="44" t="str">
        <f>IF(LEN(VLOOKUP(A16,'Species List'!$A:$G,4,FALSE))=0,"",VLOOKUP(A16,'Species List'!$A:$G,4,FALSE))</f>
        <v>D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FACW-</v>
      </c>
      <c r="H16" s="44">
        <f>VLOOKUP(A16,'Species List'!$A:$G,7,FALSE)</f>
        <v>0</v>
      </c>
      <c r="J16" s="95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0.02</v>
      </c>
      <c r="O16" s="102">
        <f t="shared" si="3"/>
        <v>0.06</v>
      </c>
    </row>
    <row r="17" spans="1:15" x14ac:dyDescent="0.2">
      <c r="A17" s="110" t="s">
        <v>2145</v>
      </c>
      <c r="B17" s="44" t="str">
        <f>IF(LEN(VLOOKUP(A17,'Species List'!$A:$G,2,FALSE))=0,"",VLOOKUP(A17,'Species List'!$A:$G,2,FALSE))</f>
        <v>green ash</v>
      </c>
      <c r="C17" s="44">
        <f>IF(LEN(VLOOKUP(A17,'Species List'!$A:$G,3,FALSE))=0,"",VLOOKUP(A17,'Species List'!$A:$G,3,FALSE))</f>
        <v>2</v>
      </c>
      <c r="D17" s="103">
        <f t="shared" si="1"/>
        <v>2</v>
      </c>
      <c r="E17" s="44" t="str">
        <f>IF(LEN(VLOOKUP(A17,'Species List'!$A:$G,4,FALSE))=0,"",VLOOKUP(A17,'Species List'!$A:$G,4,FALSE))</f>
        <v>D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FACW</v>
      </c>
      <c r="H17" s="44">
        <f>VLOOKUP(A17,'Species List'!$A:$G,7,FALSE)</f>
        <v>0</v>
      </c>
      <c r="J17" s="95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88">
        <f t="shared" si="0"/>
        <v>0.02</v>
      </c>
      <c r="O17" s="102">
        <f t="shared" si="3"/>
        <v>0.04</v>
      </c>
    </row>
    <row r="18" spans="1:15" x14ac:dyDescent="0.2">
      <c r="A18" s="109" t="s">
        <v>3685</v>
      </c>
      <c r="B18" s="44" t="str">
        <f>IF(LEN(VLOOKUP(A18,'Species List'!$A:$G,2,FALSE))=0,"",VLOOKUP(A18,'Species List'!$A:$G,2,FALSE))</f>
        <v>white oak</v>
      </c>
      <c r="C18" s="44">
        <f>IF(LEN(VLOOKUP(A18,'Species List'!$A:$G,3,FALSE))=0,"",VLOOKUP(A18,'Species List'!$A:$G,3,FALSE))</f>
        <v>7</v>
      </c>
      <c r="D18" s="103">
        <f t="shared" si="1"/>
        <v>7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95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0.02</v>
      </c>
      <c r="O18" s="102">
        <f t="shared" si="3"/>
        <v>0.14000000000000001</v>
      </c>
    </row>
    <row r="19" spans="1:15" x14ac:dyDescent="0.2">
      <c r="A19" s="111" t="s">
        <v>3658</v>
      </c>
      <c r="B19" s="44" t="str">
        <f>IF(LEN(VLOOKUP(A19,'Species List'!$A:$G,2,FALSE))=0,"",VLOOKUP(A19,'Species List'!$A:$G,2,FALSE))</f>
        <v>chokecherry</v>
      </c>
      <c r="C19" s="44">
        <f>IF(LEN(VLOOKUP(A19,'Species List'!$A:$G,3,FALSE))=0,"",VLOOKUP(A19,'Species List'!$A:$G,3,FALSE))</f>
        <v>3</v>
      </c>
      <c r="D19" s="103">
        <f t="shared" si="1"/>
        <v>3</v>
      </c>
      <c r="E19" s="44" t="str">
        <f>IF(LEN(VLOOKUP(A19,'Species List'!$A:$G,4,FALSE))=0,"",VLOOKUP(A19,'Species List'!$A:$G,4,FALSE))</f>
        <v>D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[FAC-]</v>
      </c>
      <c r="H19" s="44">
        <f>VLOOKUP(A19,'Species List'!$A:$G,7,FALSE)</f>
        <v>0</v>
      </c>
      <c r="J19" s="95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0.02</v>
      </c>
      <c r="O19" s="102">
        <f t="shared" si="3"/>
        <v>0.06</v>
      </c>
    </row>
    <row r="20" spans="1:15" x14ac:dyDescent="0.2">
      <c r="A20" s="109" t="s">
        <v>3858</v>
      </c>
      <c r="B20" s="44" t="str">
        <f>IF(LEN(VLOOKUP(A20,'Species List'!$A:$G,2,FALSE))=0,"",VLOOKUP(A20,'Species List'!$A:$G,2,FALSE))</f>
        <v>black raspberry</v>
      </c>
      <c r="C20" s="44">
        <f>IF(LEN(VLOOKUP(A20,'Species List'!$A:$G,3,FALSE))=0,"",VLOOKUP(A20,'Species List'!$A:$G,3,FALSE))</f>
        <v>2</v>
      </c>
      <c r="D20" s="103">
        <f t="shared" si="1"/>
        <v>2</v>
      </c>
      <c r="E20" s="44" t="str">
        <f>IF(LEN(VLOOKUP(A20,'Species List'!$A:$G,4,FALSE))=0,"",VLOOKUP(A20,'Species List'!$A:$G,4,FALSE))</f>
        <v>D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95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2"/>
        <v>3</v>
      </c>
      <c r="N20" s="88">
        <f t="shared" si="0"/>
        <v>0.02</v>
      </c>
      <c r="O20" s="102">
        <f t="shared" si="3"/>
        <v>0.04</v>
      </c>
    </row>
    <row r="21" spans="1:15" x14ac:dyDescent="0.2">
      <c r="A21" s="109" t="s">
        <v>3757</v>
      </c>
      <c r="B21" s="44" t="str">
        <f>IF(LEN(VLOOKUP(A21,'Species List'!$A:$G,2,FALSE))=0,"",VLOOKUP(A21,'Species List'!$A:$G,2,FALSE))</f>
        <v>common buckthorn</v>
      </c>
      <c r="C21" s="44">
        <f>IF(LEN(VLOOKUP(A21,'Species List'!$A:$G,3,FALSE))=0,"",VLOOKUP(A21,'Species List'!$A:$G,3,FALSE))</f>
        <v>0</v>
      </c>
      <c r="D21" s="103">
        <f t="shared" si="1"/>
        <v>0</v>
      </c>
      <c r="E21" s="44" t="str">
        <f>IF(LEN(VLOOKUP(A21,'Species List'!$A:$G,4,FALSE))=0,"",VLOOKUP(A21,'Species List'!$A:$G,4,FALSE))</f>
        <v>D</v>
      </c>
      <c r="F21" s="44" t="str">
        <f>IF(LEN(VLOOKUP(A21,'Species List'!$A:$G,5,FALSE))=0,"",VLOOKUP(A21,'Species List'!$A:$G,5,FALSE))</f>
        <v>Introduced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95">
        <v>3</v>
      </c>
      <c r="K21" s="47" t="str">
        <f>VLOOKUP(J21,'Species List'!$H$1:$J$9,2,FALSE)</f>
        <v>&gt;25-50%</v>
      </c>
      <c r="L21" s="47">
        <f>VLOOKUP(K21,'Species List'!$I$1:$N$8,2,FALSE)</f>
        <v>37.5</v>
      </c>
      <c r="M21" s="104">
        <f t="shared" si="2"/>
        <v>37.5</v>
      </c>
      <c r="N21" s="88">
        <f t="shared" si="0"/>
        <v>0.25</v>
      </c>
      <c r="O21" s="102">
        <f t="shared" si="3"/>
        <v>0</v>
      </c>
    </row>
    <row r="22" spans="1:15" x14ac:dyDescent="0.2">
      <c r="A22" s="109" t="s">
        <v>5074</v>
      </c>
      <c r="B22" s="44" t="str">
        <f>IF(LEN(VLOOKUP(A22,'Species List'!$A:$G,2,FALSE))=0,"",VLOOKUP(A22,'Species List'!$A:$G,2,FALSE))</f>
        <v/>
      </c>
      <c r="C22" s="44">
        <v>0</v>
      </c>
      <c r="D22" s="103">
        <f t="shared" si="1"/>
        <v>0</v>
      </c>
      <c r="E22" s="44" t="str">
        <f>IF(LEN(VLOOKUP(A22,'Species List'!$A:$G,4,FALSE))=0,"",VLOOKUP(A22,'Species List'!$A:$G,4,FALSE))</f>
        <v/>
      </c>
      <c r="F22" s="44" t="s">
        <v>152</v>
      </c>
      <c r="G22" s="44" t="str">
        <f>IF(LEN(VLOOKUP(A22,'Species List'!$A:$G,6,FALSE))=0,"",VLOOKUP(A22,'Species List'!$A:$G,6,FALSE))</f>
        <v/>
      </c>
      <c r="H22" s="44">
        <f>VLOOKUP(A22,'Species List'!$A:$G,7,FALSE)</f>
        <v>0</v>
      </c>
      <c r="J22" s="95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2"/>
        <v>3</v>
      </c>
      <c r="N22" s="88">
        <f t="shared" si="0"/>
        <v>0.02</v>
      </c>
      <c r="O22" s="102">
        <f t="shared" si="3"/>
        <v>0</v>
      </c>
    </row>
    <row r="23" spans="1:15" x14ac:dyDescent="0.2">
      <c r="A23" s="109" t="s">
        <v>5238</v>
      </c>
      <c r="B23" s="44" t="str">
        <f>IF(LEN(VLOOKUP(A23,'Species List'!$A:$G,2,FALSE))=0,"",VLOOKUP(A23,'Species List'!$A:$G,2,FALSE))</f>
        <v/>
      </c>
      <c r="C23" s="44">
        <v>3</v>
      </c>
      <c r="D23" s="103">
        <f t="shared" si="1"/>
        <v>3</v>
      </c>
      <c r="E23" s="44" t="str">
        <f>IF(LEN(VLOOKUP(A23,'Species List'!$A:$G,4,FALSE))=0,"",VLOOKUP(A23,'Species List'!$A:$G,4,FALSE))</f>
        <v/>
      </c>
      <c r="F23" s="44" t="s">
        <v>147</v>
      </c>
      <c r="G23" s="44" t="str">
        <f>IF(LEN(VLOOKUP(A23,'Species List'!$A:$G,6,FALSE))=0,"",VLOOKUP(A23,'Species List'!$A:$G,6,FALSE))</f>
        <v/>
      </c>
      <c r="H23" s="44">
        <f>VLOOKUP(A23,'Species List'!$A:$G,7,FALSE)</f>
        <v>0</v>
      </c>
      <c r="J23" s="95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0.02</v>
      </c>
      <c r="O23" s="102">
        <f t="shared" si="3"/>
        <v>0.06</v>
      </c>
    </row>
    <row r="24" spans="1:15" x14ac:dyDescent="0.2">
      <c r="A24" s="109" t="s">
        <v>4817</v>
      </c>
      <c r="B24" s="44" t="str">
        <f>IF(LEN(VLOOKUP(A24,'Species List'!$A:$G,2,FALSE))=0,"",VLOOKUP(A24,'Species List'!$A:$G,2,FALSE))</f>
        <v>prickly ash</v>
      </c>
      <c r="C24" s="44">
        <f>IF(LEN(VLOOKUP(A24,'Species List'!$A:$G,3,FALSE))=0,"",VLOOKUP(A24,'Species List'!$A:$G,3,FALSE))</f>
        <v>3</v>
      </c>
      <c r="D24" s="103">
        <f t="shared" si="1"/>
        <v>3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95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0.02</v>
      </c>
      <c r="O24" s="102">
        <f t="shared" si="3"/>
        <v>0.06</v>
      </c>
    </row>
    <row r="25" spans="1:15" x14ac:dyDescent="0.2">
      <c r="A25" s="112" t="s">
        <v>4768</v>
      </c>
      <c r="B25" s="44" t="str">
        <f>IF(LEN(VLOOKUP(A25,'Species List'!$A:$G,2,FALSE))=0,"",VLOOKUP(A25,'Species List'!$A:$G,2,FALSE))</f>
        <v>wild grape</v>
      </c>
      <c r="C25" s="44">
        <f>IF(LEN(VLOOKUP(A25,'Species List'!$A:$G,3,FALSE))=0,"",VLOOKUP(A25,'Species List'!$A:$G,3,FALSE))</f>
        <v>2</v>
      </c>
      <c r="D25" s="103">
        <f t="shared" si="1"/>
        <v>2</v>
      </c>
      <c r="E25" s="44" t="str">
        <f>IF(LEN(VLOOKUP(A25,'Species List'!$A:$G,4,FALSE))=0,"",VLOOKUP(A25,'Species List'!$A:$G,4,FALSE))</f>
        <v>C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FACW-</v>
      </c>
      <c r="H25" s="44">
        <f>VLOOKUP(A25,'Species List'!$A:$G,7,FALSE)</f>
        <v>0</v>
      </c>
      <c r="J25" s="95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0.02</v>
      </c>
      <c r="O25" s="102">
        <f t="shared" si="3"/>
        <v>0.04</v>
      </c>
    </row>
    <row r="26" spans="1:15" x14ac:dyDescent="0.2">
      <c r="A26" s="112" t="s">
        <v>3213</v>
      </c>
      <c r="B26" s="44" t="str">
        <f>IF(LEN(VLOOKUP(A26,'Species List'!$A:$G,2,FALSE))=0,"",VLOOKUP(A26,'Species List'!$A:$G,2,FALSE))</f>
        <v>Virginia creeper</v>
      </c>
      <c r="C26" s="44">
        <v>3</v>
      </c>
      <c r="D26" s="103">
        <f t="shared" si="1"/>
        <v>3</v>
      </c>
      <c r="E26" s="44" t="str">
        <f>IF(LEN(VLOOKUP(A26,'Species List'!$A:$G,4,FALSE))=0,"",VLOOKUP(A26,'Species List'!$A:$G,4,FALSE))</f>
        <v>C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FAC-</v>
      </c>
      <c r="H26" s="44">
        <f>VLOOKUP(A26,'Species List'!$A:$G,7,FALSE)</f>
        <v>0</v>
      </c>
      <c r="J26" s="95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0.02</v>
      </c>
      <c r="O26" s="102">
        <f t="shared" si="3"/>
        <v>0.06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ref="N53:N116" si="4">L53/$L$128</f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ref="D54:D117" si="5">VALUE(C54)</f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ref="M54:M117" si="6">VALUE(L54)</f>
        <v>#N/A</v>
      </c>
      <c r="N54" s="88" t="e">
        <f t="shared" si="4"/>
        <v>#N/A</v>
      </c>
      <c r="O54" s="102" t="e">
        <f t="shared" ref="O54:O117" si="7">D54*N54</f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5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6"/>
        <v>#N/A</v>
      </c>
      <c r="N55" s="88" t="e">
        <f t="shared" si="4"/>
        <v>#N/A</v>
      </c>
      <c r="O55" s="102" t="e">
        <f t="shared" si="7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5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6"/>
        <v>#N/A</v>
      </c>
      <c r="N56" s="88" t="e">
        <f t="shared" si="4"/>
        <v>#N/A</v>
      </c>
      <c r="O56" s="102" t="e">
        <f t="shared" si="7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5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6"/>
        <v>#N/A</v>
      </c>
      <c r="N57" s="88" t="e">
        <f t="shared" si="4"/>
        <v>#N/A</v>
      </c>
      <c r="O57" s="102" t="e">
        <f t="shared" si="7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5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6"/>
        <v>#N/A</v>
      </c>
      <c r="N58" s="88" t="e">
        <f t="shared" si="4"/>
        <v>#N/A</v>
      </c>
      <c r="O58" s="102" t="e">
        <f t="shared" si="7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5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6"/>
        <v>#N/A</v>
      </c>
      <c r="N59" s="88" t="e">
        <f t="shared" si="4"/>
        <v>#N/A</v>
      </c>
      <c r="O59" s="102" t="e">
        <f t="shared" si="7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5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6"/>
        <v>#N/A</v>
      </c>
      <c r="N60" s="88" t="e">
        <f t="shared" si="4"/>
        <v>#N/A</v>
      </c>
      <c r="O60" s="102" t="e">
        <f t="shared" si="7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5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6"/>
        <v>#N/A</v>
      </c>
      <c r="N61" s="88" t="e">
        <f t="shared" si="4"/>
        <v>#N/A</v>
      </c>
      <c r="O61" s="102" t="e">
        <f t="shared" si="7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5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6"/>
        <v>#N/A</v>
      </c>
      <c r="N62" s="88" t="e">
        <f t="shared" si="4"/>
        <v>#N/A</v>
      </c>
      <c r="O62" s="102" t="e">
        <f t="shared" si="7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5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6"/>
        <v>#N/A</v>
      </c>
      <c r="N63" s="88" t="e">
        <f t="shared" si="4"/>
        <v>#N/A</v>
      </c>
      <c r="O63" s="102" t="e">
        <f t="shared" si="7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5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6"/>
        <v>#N/A</v>
      </c>
      <c r="N64" s="88" t="e">
        <f t="shared" si="4"/>
        <v>#N/A</v>
      </c>
      <c r="O64" s="102" t="e">
        <f t="shared" si="7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5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6"/>
        <v>#N/A</v>
      </c>
      <c r="N65" s="88" t="e">
        <f t="shared" si="4"/>
        <v>#N/A</v>
      </c>
      <c r="O65" s="102" t="e">
        <f t="shared" si="7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5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6"/>
        <v>#N/A</v>
      </c>
      <c r="N66" s="88" t="e">
        <f t="shared" si="4"/>
        <v>#N/A</v>
      </c>
      <c r="O66" s="102" t="e">
        <f t="shared" si="7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5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6"/>
        <v>#N/A</v>
      </c>
      <c r="N67" s="88" t="e">
        <f t="shared" si="4"/>
        <v>#N/A</v>
      </c>
      <c r="O67" s="102" t="e">
        <f t="shared" si="7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5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6"/>
        <v>#N/A</v>
      </c>
      <c r="N68" s="88" t="e">
        <f t="shared" si="4"/>
        <v>#N/A</v>
      </c>
      <c r="O68" s="102" t="e">
        <f t="shared" si="7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5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6"/>
        <v>#N/A</v>
      </c>
      <c r="N69" s="88" t="e">
        <f t="shared" si="4"/>
        <v>#N/A</v>
      </c>
      <c r="O69" s="102" t="e">
        <f t="shared" si="7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5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6"/>
        <v>#N/A</v>
      </c>
      <c r="N70" s="88" t="e">
        <f t="shared" si="4"/>
        <v>#N/A</v>
      </c>
      <c r="O70" s="102" t="e">
        <f t="shared" si="7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5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6"/>
        <v>#N/A</v>
      </c>
      <c r="N71" s="88" t="e">
        <f t="shared" si="4"/>
        <v>#N/A</v>
      </c>
      <c r="O71" s="102" t="e">
        <f t="shared" si="7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5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6"/>
        <v>#N/A</v>
      </c>
      <c r="N72" s="88" t="e">
        <f t="shared" si="4"/>
        <v>#N/A</v>
      </c>
      <c r="O72" s="102" t="e">
        <f t="shared" si="7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5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6"/>
        <v>#N/A</v>
      </c>
      <c r="N73" s="88" t="e">
        <f t="shared" si="4"/>
        <v>#N/A</v>
      </c>
      <c r="O73" s="102" t="e">
        <f t="shared" si="7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5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6"/>
        <v>#N/A</v>
      </c>
      <c r="N74" s="88" t="e">
        <f t="shared" si="4"/>
        <v>#N/A</v>
      </c>
      <c r="O74" s="102" t="e">
        <f t="shared" si="7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5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6"/>
        <v>#N/A</v>
      </c>
      <c r="N75" s="88" t="e">
        <f t="shared" si="4"/>
        <v>#N/A</v>
      </c>
      <c r="O75" s="102" t="e">
        <f t="shared" si="7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5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6"/>
        <v>#N/A</v>
      </c>
      <c r="N76" s="88" t="e">
        <f t="shared" si="4"/>
        <v>#N/A</v>
      </c>
      <c r="O76" s="102" t="e">
        <f t="shared" si="7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si="5"/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si="6"/>
        <v>#N/A</v>
      </c>
      <c r="N77" s="88" t="e">
        <f t="shared" si="4"/>
        <v>#N/A</v>
      </c>
      <c r="O77" s="102" t="e">
        <f t="shared" si="7"/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ref="N117:N127" si="8">L117/$L$128</f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ref="D118:D127" si="9">VALUE(C118)</f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ref="M118:M127" si="10">VALUE(L118)</f>
        <v>#N/A</v>
      </c>
      <c r="N118" s="88" t="e">
        <f t="shared" si="8"/>
        <v>#N/A</v>
      </c>
      <c r="O118" s="102" t="e">
        <f t="shared" ref="O118:O127" si="11">D118*N118</f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9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10"/>
        <v>#N/A</v>
      </c>
      <c r="N119" s="88" t="e">
        <f t="shared" si="8"/>
        <v>#N/A</v>
      </c>
      <c r="O119" s="102" t="e">
        <f t="shared" si="11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9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10"/>
        <v>#N/A</v>
      </c>
      <c r="N120" s="88" t="e">
        <f t="shared" si="8"/>
        <v>#N/A</v>
      </c>
      <c r="O120" s="102" t="e">
        <f t="shared" si="11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9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10"/>
        <v>#N/A</v>
      </c>
      <c r="N121" s="88" t="e">
        <f t="shared" si="8"/>
        <v>#N/A</v>
      </c>
      <c r="O121" s="102" t="e">
        <f t="shared" si="11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9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10"/>
        <v>#N/A</v>
      </c>
      <c r="N122" s="88" t="e">
        <f t="shared" si="8"/>
        <v>#N/A</v>
      </c>
      <c r="O122" s="102" t="e">
        <f t="shared" si="11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9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10"/>
        <v>#N/A</v>
      </c>
      <c r="N123" s="88" t="e">
        <f t="shared" si="8"/>
        <v>#N/A</v>
      </c>
      <c r="O123" s="102" t="e">
        <f t="shared" si="11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9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10"/>
        <v>#N/A</v>
      </c>
      <c r="N124" s="88" t="e">
        <f t="shared" si="8"/>
        <v>#N/A</v>
      </c>
      <c r="O124" s="102" t="e">
        <f t="shared" si="11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9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10"/>
        <v>#N/A</v>
      </c>
      <c r="N125" s="88" t="e">
        <f t="shared" si="8"/>
        <v>#N/A</v>
      </c>
      <c r="O125" s="102" t="e">
        <f t="shared" si="11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9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10"/>
        <v>#N/A</v>
      </c>
      <c r="N126" s="88" t="e">
        <f t="shared" si="8"/>
        <v>#N/A</v>
      </c>
      <c r="O126" s="102" t="e">
        <f t="shared" si="11"/>
        <v>#N/A</v>
      </c>
    </row>
    <row r="127" spans="1:15" ht="13.2" thickBot="1" x14ac:dyDescent="0.25">
      <c r="A127" s="94"/>
      <c r="B127" s="62" t="e">
        <f>IF(LEN(VLOOKUP(A127,'Species List'!$A:$G,2,FALSE))=0,"",VLOOKUP(A127,'Species List'!$A:$G,2,FALSE))</f>
        <v>#N/A</v>
      </c>
      <c r="C127" s="62" t="e">
        <f>IF(LEN(VLOOKUP(A127,'Species List'!$A:$G,3,FALSE))=0,"",VLOOKUP(A127,'Species List'!$A:$G,3,FALSE))</f>
        <v>#N/A</v>
      </c>
      <c r="D127" s="103" t="e">
        <f t="shared" si="9"/>
        <v>#N/A</v>
      </c>
      <c r="E127" s="62" t="e">
        <f>IF(LEN(VLOOKUP(A127,'Species List'!$A:$G,4,FALSE))=0,"",VLOOKUP(A127,'Species List'!$A:$G,4,FALSE))</f>
        <v>#N/A</v>
      </c>
      <c r="F127" s="62" t="e">
        <f>IF(LEN(VLOOKUP(A127,'Species List'!$A:$G,5,FALSE))=0,"",VLOOKUP(A127,'Species List'!$A:$G,5,FALSE))</f>
        <v>#N/A</v>
      </c>
      <c r="G127" s="62" t="e">
        <f>IF(LEN(VLOOKUP(A127,'Species List'!$A:$G,6,FALSE))=0,"",VLOOKUP(A127,'Species List'!$A:$G,6,FALSE))</f>
        <v>#N/A</v>
      </c>
      <c r="H127" s="62" t="e">
        <f>VLOOKUP(A127,'Species List'!$A:$G,7,FALSE)</f>
        <v>#N/A</v>
      </c>
      <c r="I127" s="45"/>
      <c r="J127" s="96"/>
      <c r="K127" s="64" t="e">
        <f>VLOOKUP(J127,'Species List'!$H$1:$J$9,2,FALSE)</f>
        <v>#N/A</v>
      </c>
      <c r="L127" s="64" t="e">
        <f>VLOOKUP(K127,'Species List'!$I$1:$N$8,2,FALSE)</f>
        <v>#N/A</v>
      </c>
      <c r="M127" s="104" t="e">
        <f t="shared" si="10"/>
        <v>#N/A</v>
      </c>
      <c r="N127" s="45" t="e">
        <f t="shared" si="8"/>
        <v>#N/A</v>
      </c>
      <c r="O127" s="102" t="e">
        <f t="shared" si="11"/>
        <v>#N/A</v>
      </c>
    </row>
    <row r="128" spans="1:15" ht="13.8" thickTop="1" thickBot="1" x14ac:dyDescent="0.25">
      <c r="I128" s="145" t="s">
        <v>5387</v>
      </c>
      <c r="J128" s="146"/>
      <c r="K128" s="147"/>
      <c r="L128" s="63">
        <f>SUMIF(L10:L127,"&gt;=0")</f>
        <v>150</v>
      </c>
      <c r="M128" s="81"/>
    </row>
  </sheetData>
  <protectedRanges>
    <protectedRange password="EBBA" sqref="B9" name="Range1"/>
    <protectedRange password="EBBA" sqref="K10:K127" name="Range2"/>
  </protectedRanges>
  <dataConsolidate/>
  <mergeCells count="3">
    <mergeCell ref="A1:O1"/>
    <mergeCell ref="B7:E7"/>
    <mergeCell ref="I128:K128"/>
  </mergeCells>
  <conditionalFormatting sqref="A11:A24">
    <cfRule type="duplicateValues" dxfId="0" priority="1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J19:J127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I10:I127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F40" sqref="F40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4"/>
      <c r="C7" s="144"/>
      <c r="D7" s="144"/>
      <c r="E7" s="144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13" t="s">
        <v>473</v>
      </c>
      <c r="B12" s="44" t="str">
        <f>IF(LEN(VLOOKUP(A12,'Species List'!$A:$G,2,FALSE))=0,"",VLOOKUP(A12,'Species List'!$A:$G,2,FALSE))</f>
        <v>Jack-in-the-pulpit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116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2.8037383177570093E-2</v>
      </c>
      <c r="O12" s="88">
        <f>D12*N12</f>
        <v>0.11214953271028037</v>
      </c>
    </row>
    <row r="13" spans="1:15" x14ac:dyDescent="0.2">
      <c r="A13" s="113" t="s">
        <v>1774</v>
      </c>
      <c r="B13" s="44" t="str">
        <f>IF(LEN(VLOOKUP(A13,'Species List'!$A:$G,2,FALSE))=0,"",VLOOKUP(A13,'Species List'!$A:$G,2,FALSE))</f>
        <v>spinulose shield fern</v>
      </c>
      <c r="C13" s="44">
        <f>IF(LEN(VLOOKUP(A13,'Species List'!$A:$G,3,FALSE))=0,"",VLOOKUP(A13,'Species List'!$A:$G,3,FALSE))</f>
        <v>6</v>
      </c>
      <c r="D13" s="103">
        <f t="shared" ref="D13:D76" si="0">VALUE(C13)</f>
        <v>6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[FACW-]</v>
      </c>
      <c r="H13" s="44">
        <f>VLOOKUP(A13,'Species List'!$A:$G,7,FALSE)</f>
        <v>0</v>
      </c>
      <c r="J13" s="117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2.8037383177570093E-2</v>
      </c>
      <c r="O13" s="102">
        <f t="shared" ref="O13:O76" si="3">D13*N13</f>
        <v>0.16822429906542055</v>
      </c>
    </row>
    <row r="14" spans="1:15" x14ac:dyDescent="0.2">
      <c r="A14" s="109" t="s">
        <v>2187</v>
      </c>
      <c r="B14" s="44" t="str">
        <f>IF(LEN(VLOOKUP(A14,'Species List'!$A:$G,2,FALSE))=0,"",VLOOKUP(A14,'Species List'!$A:$G,2,FALSE))</f>
        <v/>
      </c>
      <c r="C14" s="44">
        <f>IF(LEN(VLOOKUP(A14,'Species List'!$A:$G,3,FALSE))=0,"",VLOOKUP(A14,'Species List'!$A:$G,3,FALSE))</f>
        <v>4</v>
      </c>
      <c r="D14" s="103">
        <f t="shared" si="0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FACU+</v>
      </c>
      <c r="H14" s="44">
        <f>VLOOKUP(A14,'Species List'!$A:$G,7,FALSE)</f>
        <v>0</v>
      </c>
      <c r="J14" s="117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1"/>
        <v>3</v>
      </c>
      <c r="N14" s="102">
        <f t="shared" si="2"/>
        <v>2.8037383177570093E-2</v>
      </c>
      <c r="O14" s="102">
        <f t="shared" si="3"/>
        <v>0.11214953271028037</v>
      </c>
    </row>
    <row r="15" spans="1:15" x14ac:dyDescent="0.2">
      <c r="A15" s="109" t="s">
        <v>5443</v>
      </c>
      <c r="B15" s="44" t="s">
        <v>5445</v>
      </c>
      <c r="C15" s="44">
        <v>0</v>
      </c>
      <c r="D15" s="103">
        <f t="shared" si="0"/>
        <v>0</v>
      </c>
      <c r="E15" s="44" t="e">
        <f>IF(LEN(VLOOKUP(A15,'Species List'!$A:$G,4,FALSE))=0,"",VLOOKUP(A15,'Species List'!$A:$G,4,FALSE))</f>
        <v>#N/A</v>
      </c>
      <c r="F15" s="44" t="s">
        <v>152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117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1"/>
        <v>15</v>
      </c>
      <c r="N15" s="102">
        <f t="shared" si="2"/>
        <v>0.14018691588785046</v>
      </c>
      <c r="O15" s="102">
        <f t="shared" si="3"/>
        <v>0</v>
      </c>
    </row>
    <row r="16" spans="1:15" x14ac:dyDescent="0.2">
      <c r="A16" s="109" t="s">
        <v>3102</v>
      </c>
      <c r="B16" s="44" t="str">
        <f>IF(LEN(VLOOKUP(A16,'Species List'!$A:$G,2,FALSE))=0,"",VLOOKUP(A16,'Species List'!$A:$G,2,FALSE))</f>
        <v>sensitive fern</v>
      </c>
      <c r="C16" s="44">
        <f>IF(LEN(VLOOKUP(A16,'Species List'!$A:$G,3,FALSE))=0,"",VLOOKUP(A16,'Species List'!$A:$G,3,FALSE))</f>
        <v>4</v>
      </c>
      <c r="D16" s="103">
        <f t="shared" si="0"/>
        <v>4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FACW</v>
      </c>
      <c r="H16" s="44">
        <f>VLOOKUP(A16,'Species List'!$A:$G,7,FALSE)</f>
        <v>0</v>
      </c>
      <c r="J16" s="117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2.8037383177570093E-2</v>
      </c>
      <c r="O16" s="102">
        <f t="shared" si="3"/>
        <v>0.11214953271028037</v>
      </c>
    </row>
    <row r="17" spans="1:15" x14ac:dyDescent="0.2">
      <c r="A17" s="109" t="s">
        <v>359</v>
      </c>
      <c r="B17" s="44" t="str">
        <f>IF(LEN(VLOOKUP(A17,'Species List'!$A:$G,2,FALSE))=0,"",VLOOKUP(A17,'Species List'!$A:$G,2,FALSE))</f>
        <v>hog peanut</v>
      </c>
      <c r="C17" s="44">
        <f>IF(LEN(VLOOKUP(A17,'Species List'!$A:$G,3,FALSE))=0,"",VLOOKUP(A17,'Species List'!$A:$G,3,FALSE))</f>
        <v>2</v>
      </c>
      <c r="D17" s="103">
        <f t="shared" si="0"/>
        <v>2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7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1"/>
        <v>3</v>
      </c>
      <c r="N17" s="102">
        <f t="shared" si="2"/>
        <v>2.8037383177570093E-2</v>
      </c>
      <c r="O17" s="102">
        <f t="shared" si="3"/>
        <v>5.6074766355140186E-2</v>
      </c>
    </row>
    <row r="18" spans="1:15" x14ac:dyDescent="0.2">
      <c r="A18" s="109" t="s">
        <v>3151</v>
      </c>
      <c r="B18" s="44" t="str">
        <f>IF(LEN(VLOOKUP(A18,'Species List'!$A:$G,2,FALSE))=0,"",VLOOKUP(A18,'Species List'!$A:$G,2,FALSE))</f>
        <v>yellow wood sorrel</v>
      </c>
      <c r="C18" s="44">
        <f>IF(LEN(VLOOKUP(A18,'Species List'!$A:$G,3,FALSE))=0,"",VLOOKUP(A18,'Species List'!$A:$G,3,FALSE))</f>
        <v>0</v>
      </c>
      <c r="D18" s="103">
        <f t="shared" si="0"/>
        <v>0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[FACU]</v>
      </c>
      <c r="H18" s="44">
        <f>VLOOKUP(A18,'Species List'!$A:$G,7,FALSE)</f>
        <v>0</v>
      </c>
      <c r="J18" s="117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2.8037383177570093E-2</v>
      </c>
      <c r="O18" s="102">
        <f t="shared" si="3"/>
        <v>0</v>
      </c>
    </row>
    <row r="19" spans="1:15" x14ac:dyDescent="0.2">
      <c r="A19" s="109" t="s">
        <v>199</v>
      </c>
      <c r="B19" s="44" t="str">
        <f>IF(LEN(VLOOKUP(A19,'Species List'!$A:$G,2,FALSE))=0,"",VLOOKUP(A19,'Species List'!$A:$G,2,FALSE))</f>
        <v>red baneberry</v>
      </c>
      <c r="C19" s="44">
        <f>IF(LEN(VLOOKUP(A19,'Species List'!$A:$G,3,FALSE))=0,"",VLOOKUP(A19,'Species List'!$A:$G,3,FALSE))</f>
        <v>7</v>
      </c>
      <c r="D19" s="103">
        <f t="shared" si="0"/>
        <v>7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I19" s="88" t="s">
        <v>5389</v>
      </c>
      <c r="J19" s="117" t="s">
        <v>5420</v>
      </c>
      <c r="K19" s="47" t="str">
        <f>VLOOKUP(J19,'Species List'!$H$1:$J$9,2,FALSE)</f>
        <v>&gt;0-1%</v>
      </c>
      <c r="L19" s="47">
        <f>VLOOKUP(K19,'Species List'!$I$1:$N$8,2,FALSE)</f>
        <v>0.5</v>
      </c>
      <c r="M19" s="104">
        <f t="shared" si="1"/>
        <v>0.5</v>
      </c>
      <c r="N19" s="102">
        <f t="shared" si="2"/>
        <v>4.6728971962616819E-3</v>
      </c>
      <c r="O19" s="102">
        <f t="shared" si="3"/>
        <v>3.2710280373831772E-2</v>
      </c>
    </row>
    <row r="20" spans="1:15" x14ac:dyDescent="0.2">
      <c r="A20" s="109" t="s">
        <v>5370</v>
      </c>
      <c r="B20" s="44" t="str">
        <f>IF(LEN(VLOOKUP(A20,'Species List'!$A:$G,2,FALSE))=0,"",VLOOKUP(A20,'Species List'!$A:$G,2,FALSE))</f>
        <v/>
      </c>
      <c r="C20" s="44">
        <v>4</v>
      </c>
      <c r="D20" s="103">
        <f t="shared" si="0"/>
        <v>4</v>
      </c>
      <c r="E20" s="44" t="str">
        <f>IF(LEN(VLOOKUP(A20,'Species List'!$A:$G,4,FALSE))=0,"",VLOOKUP(A20,'Species List'!$A:$G,4,FALSE))</f>
        <v/>
      </c>
      <c r="F20" s="44" t="s">
        <v>147</v>
      </c>
      <c r="G20" s="44" t="str">
        <f>IF(LEN(VLOOKUP(A20,'Species List'!$A:$G,6,FALSE))=0,"",VLOOKUP(A20,'Species List'!$A:$G,6,FALSE))</f>
        <v/>
      </c>
      <c r="H20" s="44">
        <f>VLOOKUP(A20,'Species List'!$A:$G,7,FALSE)</f>
        <v>0</v>
      </c>
      <c r="J20" s="117" t="s">
        <v>5418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2.8037383177570093E-2</v>
      </c>
      <c r="O20" s="102">
        <f t="shared" si="3"/>
        <v>0.11214953271028037</v>
      </c>
    </row>
    <row r="21" spans="1:15" x14ac:dyDescent="0.2">
      <c r="A21" s="109" t="s">
        <v>3681</v>
      </c>
      <c r="B21" s="44" t="str">
        <f>IF(LEN(VLOOKUP(A21,'Species List'!$A:$G,2,FALSE))=0,"",VLOOKUP(A21,'Species List'!$A:$G,2,FALSE))</f>
        <v>elliptic shinleaf</v>
      </c>
      <c r="C21" s="44">
        <f>IF(LEN(VLOOKUP(A21,'Species List'!$A:$G,3,FALSE))=0,"",VLOOKUP(A21,'Species List'!$A:$G,3,FALSE))</f>
        <v>6</v>
      </c>
      <c r="D21" s="103">
        <f t="shared" si="0"/>
        <v>6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FACU</v>
      </c>
      <c r="H21" s="44">
        <f>VLOOKUP(A21,'Species List'!$A:$G,7,FALSE)</f>
        <v>0</v>
      </c>
      <c r="J21" s="116" t="s">
        <v>5418</v>
      </c>
      <c r="K21" s="47" t="str">
        <f>VLOOKUP(J21,'Species List'!$H$1:$J$9,2,FALSE)</f>
        <v>&gt;1-5%</v>
      </c>
      <c r="L21" s="47">
        <f>VLOOKUP(K21,'Species List'!$I$1:$N$8,2,FALSE)</f>
        <v>3</v>
      </c>
      <c r="M21" s="104">
        <f t="shared" si="1"/>
        <v>3</v>
      </c>
      <c r="N21" s="102">
        <f t="shared" si="2"/>
        <v>2.8037383177570093E-2</v>
      </c>
      <c r="O21" s="102">
        <f t="shared" si="3"/>
        <v>0.16822429906542055</v>
      </c>
    </row>
    <row r="22" spans="1:15" x14ac:dyDescent="0.2">
      <c r="A22" s="109" t="s">
        <v>2847</v>
      </c>
      <c r="B22" s="44" t="str">
        <f>IF(LEN(VLOOKUP(A22,'Species List'!$A:$G,2,FALSE))=0,"",VLOOKUP(A22,'Species List'!$A:$G,2,FALSE))</f>
        <v/>
      </c>
      <c r="C22" s="44">
        <f>IF(LEN(VLOOKUP(A22,'Species List'!$A:$G,3,FALSE))=0,"",VLOOKUP(A22,'Species List'!$A:$G,3,FALSE))</f>
        <v>5</v>
      </c>
      <c r="D22" s="103">
        <f t="shared" si="0"/>
        <v>5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117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2.8037383177570093E-2</v>
      </c>
      <c r="O22" s="102">
        <f t="shared" si="3"/>
        <v>0.14018691588785046</v>
      </c>
    </row>
    <row r="23" spans="1:15" x14ac:dyDescent="0.2">
      <c r="A23" s="109" t="s">
        <v>462</v>
      </c>
      <c r="B23" s="44" t="str">
        <f>IF(LEN(VLOOKUP(A23,'Species List'!$A:$G,2,FALSE))=0,"",VLOOKUP(A23,'Species List'!$A:$G,2,FALSE))</f>
        <v>common burdock</v>
      </c>
      <c r="C23" s="44">
        <f>IF(LEN(VLOOKUP(A23,'Species List'!$A:$G,3,FALSE))=0,"",VLOOKUP(A23,'Species List'!$A:$G,3,FALSE))</f>
        <v>0</v>
      </c>
      <c r="D23" s="103">
        <f t="shared" si="0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FACU</v>
      </c>
      <c r="H23" s="44">
        <f>VLOOKUP(A23,'Species List'!$A:$G,7,FALSE)</f>
        <v>0</v>
      </c>
      <c r="J23" s="117" t="s">
        <v>5420</v>
      </c>
      <c r="K23" s="47" t="str">
        <f>VLOOKUP(J23,'Species List'!$H$1:$J$9,2,FALSE)</f>
        <v>&gt;0-1%</v>
      </c>
      <c r="L23" s="47">
        <f>VLOOKUP(K23,'Species List'!$I$1:$N$8,2,FALSE)</f>
        <v>0.5</v>
      </c>
      <c r="M23" s="104">
        <f t="shared" si="1"/>
        <v>0.5</v>
      </c>
      <c r="N23" s="102">
        <f t="shared" si="2"/>
        <v>4.6728971962616819E-3</v>
      </c>
      <c r="O23" s="102">
        <f t="shared" si="3"/>
        <v>0</v>
      </c>
    </row>
    <row r="24" spans="1:15" x14ac:dyDescent="0.2">
      <c r="A24" s="109" t="s">
        <v>2846</v>
      </c>
      <c r="B24" s="44" t="str">
        <f>IF(LEN(VLOOKUP(A24,'Species List'!$A:$G,2,FALSE))=0,"",VLOOKUP(A24,'Species List'!$A:$G,2,FALSE))</f>
        <v>Canada mayflower</v>
      </c>
      <c r="C24" s="44">
        <f>IF(LEN(VLOOKUP(A24,'Species List'!$A:$G,3,FALSE))=0,"",VLOOKUP(A24,'Species List'!$A:$G,3,FALSE))</f>
        <v>5</v>
      </c>
      <c r="D24" s="103">
        <f t="shared" si="0"/>
        <v>5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</v>
      </c>
      <c r="H24" s="44">
        <f>VLOOKUP(A24,'Species List'!$A:$G,7,FALSE)</f>
        <v>0</v>
      </c>
      <c r="J24" s="117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1"/>
        <v>3</v>
      </c>
      <c r="N24" s="102">
        <f t="shared" si="2"/>
        <v>2.8037383177570093E-2</v>
      </c>
      <c r="O24" s="102">
        <f t="shared" si="3"/>
        <v>0.14018691588785046</v>
      </c>
    </row>
    <row r="25" spans="1:15" x14ac:dyDescent="0.2">
      <c r="A25" s="110" t="s">
        <v>4968</v>
      </c>
      <c r="B25" s="44" t="str">
        <f>IF(LEN(VLOOKUP(A25,'Species List'!$A:$G,2,FALSE))=0,"",VLOOKUP(A25,'Species List'!$A:$G,2,FALSE))</f>
        <v/>
      </c>
      <c r="C25" s="44">
        <v>0</v>
      </c>
      <c r="D25" s="103">
        <f t="shared" si="0"/>
        <v>0</v>
      </c>
      <c r="E25" s="44" t="str">
        <f>IF(LEN(VLOOKUP(A25,'Species List'!$A:$G,4,FALSE))=0,"",VLOOKUP(A25,'Species List'!$A:$G,4,FALSE))</f>
        <v/>
      </c>
      <c r="F25" s="44" t="s">
        <v>147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117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2.8037383177570093E-2</v>
      </c>
      <c r="O25" s="102">
        <f t="shared" si="3"/>
        <v>0</v>
      </c>
    </row>
    <row r="26" spans="1:15" x14ac:dyDescent="0.2">
      <c r="A26" s="114" t="s">
        <v>2241</v>
      </c>
      <c r="B26" s="44" t="str">
        <f>IF(LEN(VLOOKUP(A26,'Species List'!$A:$G,2,FALSE))=0,"",VLOOKUP(A26,'Species List'!$A:$G,2,FALSE))</f>
        <v>white avens</v>
      </c>
      <c r="C26" s="44">
        <f>IF(LEN(VLOOKUP(A26,'Species List'!$A:$G,3,FALSE))=0,"",VLOOKUP(A26,'Species List'!$A:$G,3,FALSE))</f>
        <v>2</v>
      </c>
      <c r="D26" s="103">
        <f t="shared" si="0"/>
        <v>2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FAC</v>
      </c>
      <c r="H26" s="44">
        <f>VLOOKUP(A26,'Species List'!$A:$G,7,FALSE)</f>
        <v>0</v>
      </c>
      <c r="J26" s="118" t="s">
        <v>5418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2.8037383177570093E-2</v>
      </c>
      <c r="O26" s="102">
        <f t="shared" si="3"/>
        <v>5.6074766355140186E-2</v>
      </c>
    </row>
    <row r="27" spans="1:15" x14ac:dyDescent="0.2">
      <c r="A27" s="109" t="s">
        <v>4510</v>
      </c>
      <c r="B27" s="44" t="str">
        <f>IF(LEN(VLOOKUP(A27,'Species List'!$A:$G,2,FALSE))=0,"",VLOOKUP(A27,'Species List'!$A:$G,2,FALSE))</f>
        <v>Japanese Hedge Parsley</v>
      </c>
      <c r="C27" s="44">
        <f>IF(LEN(VLOOKUP(A27,'Species List'!$A:$G,3,FALSE))=0,"",VLOOKUP(A27,'Species List'!$A:$G,3,FALSE))</f>
        <v>0</v>
      </c>
      <c r="D27" s="103">
        <f t="shared" si="0"/>
        <v>0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Introduced</v>
      </c>
      <c r="G27" s="44" t="str">
        <f>IF(LEN(VLOOKUP(A27,'Species List'!$A:$G,6,FALSE))=0,"",VLOOKUP(A27,'Species List'!$A:$G,6,FALSE))</f>
        <v/>
      </c>
      <c r="H27" s="44">
        <f>VLOOKUP(A27,'Species List'!$A:$G,7,FALSE)</f>
        <v>0</v>
      </c>
      <c r="J27" s="117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2.8037383177570093E-2</v>
      </c>
      <c r="O27" s="102">
        <f t="shared" si="3"/>
        <v>0</v>
      </c>
    </row>
    <row r="28" spans="1:15" x14ac:dyDescent="0.2">
      <c r="A28" s="115" t="s">
        <v>5290</v>
      </c>
      <c r="B28" s="44" t="str">
        <f>IF(LEN(VLOOKUP(A28,'Species List'!$A:$G,2,FALSE))=0,"",VLOOKUP(A28,'Species List'!$A:$G,2,FALSE))</f>
        <v/>
      </c>
      <c r="C28" s="44">
        <v>1</v>
      </c>
      <c r="D28" s="103">
        <f t="shared" si="0"/>
        <v>1</v>
      </c>
      <c r="E28" s="44" t="str">
        <f>IF(LEN(VLOOKUP(A28,'Species List'!$A:$G,4,FALSE))=0,"",VLOOKUP(A28,'Species List'!$A:$G,4,FALSE))</f>
        <v/>
      </c>
      <c r="F28" s="44" t="s">
        <v>147</v>
      </c>
      <c r="G28" s="44" t="str">
        <f>IF(LEN(VLOOKUP(A28,'Species List'!$A:$G,6,FALSE))=0,"",VLOOKUP(A28,'Species List'!$A:$G,6,FALSE))</f>
        <v/>
      </c>
      <c r="H28" s="44">
        <f>VLOOKUP(A28,'Species List'!$A:$G,7,FALSE)</f>
        <v>0</v>
      </c>
      <c r="J28" s="117">
        <v>2</v>
      </c>
      <c r="K28" s="47" t="str">
        <f>VLOOKUP(J28,'Species List'!$H$1:$J$9,2,FALSE)</f>
        <v>&gt;5-25%</v>
      </c>
      <c r="L28" s="47">
        <f>VLOOKUP(K28,'Species List'!$I$1:$N$8,2,FALSE)</f>
        <v>15</v>
      </c>
      <c r="M28" s="104">
        <f t="shared" si="1"/>
        <v>15</v>
      </c>
      <c r="N28" s="102">
        <f t="shared" si="2"/>
        <v>0.14018691588785046</v>
      </c>
      <c r="O28" s="102">
        <f t="shared" si="3"/>
        <v>0.14018691588785046</v>
      </c>
    </row>
    <row r="29" spans="1:15" x14ac:dyDescent="0.2">
      <c r="A29" s="109" t="s">
        <v>3885</v>
      </c>
      <c r="B29" s="44" t="str">
        <f>IF(LEN(VLOOKUP(A29,'Species List'!$A:$G,2,FALSE))=0,"",VLOOKUP(A29,'Species List'!$A:$G,2,FALSE))</f>
        <v>tall coneflower</v>
      </c>
      <c r="C29" s="44">
        <f>IF(LEN(VLOOKUP(A29,'Species List'!$A:$G,3,FALSE))=0,"",VLOOKUP(A29,'Species List'!$A:$G,3,FALSE))</f>
        <v>6</v>
      </c>
      <c r="D29" s="103">
        <f t="shared" si="0"/>
        <v>6</v>
      </c>
      <c r="E29" s="44" t="str">
        <f>IF(LEN(VLOOKUP(A29,'Species List'!$A:$G,4,FALSE))=0,"",VLOOKUP(A29,'Species List'!$A:$G,4,FALSE))</f>
        <v/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</v>
      </c>
      <c r="H29" s="44">
        <f>VLOOKUP(A29,'Species List'!$A:$G,7,FALSE)</f>
        <v>0</v>
      </c>
      <c r="J29" s="117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2.8037383177570093E-2</v>
      </c>
      <c r="O29" s="102">
        <f t="shared" si="3"/>
        <v>0.16822429906542055</v>
      </c>
    </row>
    <row r="30" spans="1:15" x14ac:dyDescent="0.2">
      <c r="A30" s="109" t="s">
        <v>2699</v>
      </c>
      <c r="B30" s="44" t="str">
        <f>IF(LEN(VLOOKUP(A30,'Species List'!$A:$G,2,FALSE))=0,"",VLOOKUP(A30,'Species List'!$A:$G,2,FALSE))</f>
        <v>lily-leaved twayblade</v>
      </c>
      <c r="C30" s="44">
        <f>IF(LEN(VLOOKUP(A30,'Species List'!$A:$G,3,FALSE))=0,"",VLOOKUP(A30,'Species List'!$A:$G,3,FALSE))</f>
        <v>5</v>
      </c>
      <c r="D30" s="103">
        <f t="shared" si="0"/>
        <v>5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FACU-</v>
      </c>
      <c r="H30" s="44">
        <f>VLOOKUP(A30,'Species List'!$A:$G,7,FALSE)</f>
        <v>0</v>
      </c>
      <c r="J30" s="117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4">
        <f t="shared" si="1"/>
        <v>0.5</v>
      </c>
      <c r="N30" s="102">
        <f t="shared" si="2"/>
        <v>4.6728971962616819E-3</v>
      </c>
      <c r="O30" s="102">
        <f t="shared" si="3"/>
        <v>2.336448598130841E-2</v>
      </c>
    </row>
    <row r="31" spans="1:15" x14ac:dyDescent="0.2">
      <c r="A31" s="109" t="s">
        <v>4483</v>
      </c>
      <c r="B31" s="44" t="str">
        <f>IF(LEN(VLOOKUP(A31,'Species List'!$A:$G,2,FALSE))=0,"",VLOOKUP(A31,'Species List'!$A:$G,2,FALSE))</f>
        <v>early meadow-rue</v>
      </c>
      <c r="C31" s="44">
        <f>IF(LEN(VLOOKUP(A31,'Species List'!$A:$G,3,FALSE))=0,"",VLOOKUP(A31,'Species List'!$A:$G,3,FALSE))</f>
        <v>5</v>
      </c>
      <c r="D31" s="103">
        <f t="shared" si="0"/>
        <v>5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FACU+</v>
      </c>
      <c r="H31" s="44">
        <f>VLOOKUP(A31,'Species List'!$A:$G,7,FALSE)</f>
        <v>0</v>
      </c>
      <c r="J31" s="119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1"/>
        <v>0.5</v>
      </c>
      <c r="N31" s="102">
        <f t="shared" si="2"/>
        <v>4.6728971962616819E-3</v>
      </c>
      <c r="O31" s="102">
        <f t="shared" si="3"/>
        <v>2.336448598130841E-2</v>
      </c>
    </row>
    <row r="32" spans="1:15" x14ac:dyDescent="0.2">
      <c r="A32" s="109" t="s">
        <v>234</v>
      </c>
      <c r="B32" s="44" t="str">
        <f>IF(LEN(VLOOKUP(A32,'Species List'!$A:$G,2,FALSE))=0,"",VLOOKUP(A32,'Species List'!$A:$G,2,FALSE))</f>
        <v>white snakeroot</v>
      </c>
      <c r="C32" s="44">
        <f>IF(LEN(VLOOKUP(A32,'Species List'!$A:$G,3,FALSE))=0,"",VLOOKUP(A32,'Species List'!$A:$G,3,FALSE))</f>
        <v>1</v>
      </c>
      <c r="D32" s="103">
        <f t="shared" si="0"/>
        <v>1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FACU</v>
      </c>
      <c r="H32" s="44">
        <f>VLOOKUP(A32,'Species List'!$A:$G,7,FALSE)</f>
        <v>0</v>
      </c>
      <c r="J32" s="119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2.8037383177570093E-2</v>
      </c>
      <c r="O32" s="102">
        <f t="shared" si="3"/>
        <v>2.8037383177570093E-2</v>
      </c>
    </row>
    <row r="33" spans="1:15" x14ac:dyDescent="0.2">
      <c r="A33" s="109" t="s">
        <v>4559</v>
      </c>
      <c r="B33" s="44" t="str">
        <f>IF(LEN(VLOOKUP(A33,'Species List'!$A:$G,2,FALSE))=0,"",VLOOKUP(A33,'Species List'!$A:$G,2,FALSE))</f>
        <v>white clover</v>
      </c>
      <c r="C33" s="44">
        <f>IF(LEN(VLOOKUP(A33,'Species List'!$A:$G,3,FALSE))=0,"",VLOOKUP(A33,'Species List'!$A:$G,3,FALSE))</f>
        <v>0</v>
      </c>
      <c r="D33" s="103">
        <f t="shared" si="0"/>
        <v>0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Introduced</v>
      </c>
      <c r="G33" s="44" t="str">
        <f>IF(LEN(VLOOKUP(A33,'Species List'!$A:$G,6,FALSE))=0,"",VLOOKUP(A33,'Species List'!$A:$G,6,FALSE))</f>
        <v>FACU+</v>
      </c>
      <c r="H33" s="44">
        <f>VLOOKUP(A33,'Species List'!$A:$G,7,FALSE)</f>
        <v>0</v>
      </c>
      <c r="J33" s="119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2.8037383177570093E-2</v>
      </c>
      <c r="O33" s="102">
        <f t="shared" si="3"/>
        <v>0</v>
      </c>
    </row>
    <row r="34" spans="1:15" x14ac:dyDescent="0.2">
      <c r="A34" s="112" t="s">
        <v>3838</v>
      </c>
      <c r="B34" s="44" t="str">
        <f>IF(LEN(VLOOKUP(A34,'Species List'!$A:$G,2,FALSE))=0,"",VLOOKUP(A34,'Species List'!$A:$G,2,FALSE))</f>
        <v>Allegheny blackberry</v>
      </c>
      <c r="C34" s="44">
        <f>IF(LEN(VLOOKUP(A34,'Species List'!$A:$G,3,FALSE))=0,"",VLOOKUP(A34,'Species List'!$A:$G,3,FALSE))</f>
        <v>2</v>
      </c>
      <c r="D34" s="103">
        <f t="shared" si="0"/>
        <v>2</v>
      </c>
      <c r="E34" s="44" t="str">
        <f>IF(LEN(VLOOKUP(A34,'Species List'!$A:$G,4,FALSE))=0,"",VLOOKUP(A34,'Species List'!$A:$G,4,FALSE))</f>
        <v>D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[FACU+]</v>
      </c>
      <c r="H34" s="44">
        <f>VLOOKUP(A34,'Species List'!$A:$G,7,FALSE)</f>
        <v>0</v>
      </c>
      <c r="J34" s="119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2.8037383177570093E-2</v>
      </c>
      <c r="O34" s="102">
        <f t="shared" si="3"/>
        <v>5.6074766355140186E-2</v>
      </c>
    </row>
    <row r="35" spans="1:15" x14ac:dyDescent="0.2">
      <c r="A35" s="109" t="s">
        <v>3385</v>
      </c>
      <c r="B35" s="44" t="str">
        <f>IF(LEN(VLOOKUP(A35,'Species List'!$A:$G,2,FALSE))=0,"",VLOOKUP(A35,'Species List'!$A:$G,2,FALSE))</f>
        <v>common plantain</v>
      </c>
      <c r="C35" s="44">
        <f>IF(LEN(VLOOKUP(A35,'Species List'!$A:$G,3,FALSE))=0,"",VLOOKUP(A35,'Species List'!$A:$G,3,FALSE))</f>
        <v>0</v>
      </c>
      <c r="D35" s="103">
        <f t="shared" si="0"/>
        <v>0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Introduced</v>
      </c>
      <c r="G35" s="44" t="str">
        <f>IF(LEN(VLOOKUP(A35,'Species List'!$A:$G,6,FALSE))=0,"",VLOOKUP(A35,'Species List'!$A:$G,6,FALSE))</f>
        <v>FAC+</v>
      </c>
      <c r="H35" s="44">
        <f>VLOOKUP(A35,'Species List'!$A:$G,7,FALSE)</f>
        <v>0</v>
      </c>
      <c r="J35" s="119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2.8037383177570093E-2</v>
      </c>
      <c r="O35" s="102">
        <f t="shared" si="3"/>
        <v>0</v>
      </c>
    </row>
    <row r="36" spans="1:15" x14ac:dyDescent="0.2">
      <c r="A36" s="112" t="s">
        <v>245</v>
      </c>
      <c r="B36" s="44" t="str">
        <f>IF(LEN(VLOOKUP(A36,'Species List'!$A:$G,2,FALSE))=0,"",VLOOKUP(A36,'Species List'!$A:$G,2,FALSE))</f>
        <v>roadside agrimony</v>
      </c>
      <c r="C36" s="44">
        <f>IF(LEN(VLOOKUP(A36,'Species List'!$A:$G,3,FALSE))=0,"",VLOOKUP(A36,'Species List'!$A:$G,3,FALSE))</f>
        <v>3</v>
      </c>
      <c r="D36" s="103">
        <f t="shared" si="0"/>
        <v>3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FAC-</v>
      </c>
      <c r="H36" s="44">
        <f>VLOOKUP(A36,'Species List'!$A:$G,7,FALSE)</f>
        <v>0</v>
      </c>
      <c r="J36" s="119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2.8037383177570093E-2</v>
      </c>
      <c r="O36" s="102">
        <f t="shared" si="3"/>
        <v>8.4112149532710276E-2</v>
      </c>
    </row>
    <row r="37" spans="1:15" x14ac:dyDescent="0.2">
      <c r="A37" s="109" t="s">
        <v>4469</v>
      </c>
      <c r="B37" s="44" t="str">
        <f>IF(LEN(VLOOKUP(A37,'Species List'!$A:$G,2,FALSE))=0,"",VLOOKUP(A37,'Species List'!$A:$G,2,FALSE))</f>
        <v>common dandelion</v>
      </c>
      <c r="C37" s="44">
        <f>IF(LEN(VLOOKUP(A37,'Species List'!$A:$G,3,FALSE))=0,"",VLOOKUP(A37,'Species List'!$A:$G,3,FALSE))</f>
        <v>0</v>
      </c>
      <c r="D37" s="103">
        <f t="shared" si="0"/>
        <v>0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Introduced</v>
      </c>
      <c r="G37" s="44" t="str">
        <f>IF(LEN(VLOOKUP(A37,'Species List'!$A:$G,6,FALSE))=0,"",VLOOKUP(A37,'Species List'!$A:$G,6,FALSE))</f>
        <v>FACU</v>
      </c>
      <c r="H37" s="44">
        <f>VLOOKUP(A37,'Species List'!$A:$G,7,FALSE)</f>
        <v>0</v>
      </c>
      <c r="J37" s="119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2.8037383177570093E-2</v>
      </c>
      <c r="O37" s="102">
        <f t="shared" si="3"/>
        <v>0</v>
      </c>
    </row>
    <row r="38" spans="1:15" x14ac:dyDescent="0.2">
      <c r="A38" s="111" t="s">
        <v>1366</v>
      </c>
      <c r="B38" s="44" t="str">
        <f>IF(LEN(VLOOKUP(A38,'Species List'!$A:$G,2,FALSE))=0,"",VLOOKUP(A38,'Species List'!$A:$G,2,FALSE))</f>
        <v>common enchanter's nightshade</v>
      </c>
      <c r="C38" s="44">
        <f>IF(LEN(VLOOKUP(A38,'Species List'!$A:$G,3,FALSE))=0,"",VLOOKUP(A38,'Species List'!$A:$G,3,FALSE))</f>
        <v>2</v>
      </c>
      <c r="D38" s="103">
        <f t="shared" si="0"/>
        <v>2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Native</v>
      </c>
      <c r="G38" s="44" t="str">
        <f>IF(LEN(VLOOKUP(A38,'Species List'!$A:$G,6,FALSE))=0,"",VLOOKUP(A38,'Species List'!$A:$G,6,FALSE))</f>
        <v>[FACU]</v>
      </c>
      <c r="H38" s="44">
        <f>VLOOKUP(A38,'Species List'!$A:$G,7,FALSE)</f>
        <v>0</v>
      </c>
      <c r="J38" s="120">
        <v>1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4">
        <f t="shared" si="1"/>
        <v>3</v>
      </c>
      <c r="N38" s="102">
        <f t="shared" si="2"/>
        <v>2.8037383177570093E-2</v>
      </c>
      <c r="O38" s="102">
        <f t="shared" si="3"/>
        <v>5.6074766355140186E-2</v>
      </c>
    </row>
    <row r="39" spans="1:15" x14ac:dyDescent="0.2">
      <c r="A39" s="109" t="s">
        <v>1659</v>
      </c>
      <c r="B39" s="44" t="str">
        <f>IF(LEN(VLOOKUP(A39,'Species List'!$A:$G,2,FALSE))=0,"",VLOOKUP(A39,'Species List'!$A:$G,2,FALSE))</f>
        <v>pointed-leaved tick trefoil</v>
      </c>
      <c r="C39" s="44">
        <v>4</v>
      </c>
      <c r="D39" s="103">
        <f t="shared" si="0"/>
        <v>4</v>
      </c>
      <c r="E39" s="44" t="str">
        <f>IF(LEN(VLOOKUP(A39,'Species List'!$A:$G,4,FALSE))=0,"",VLOOKUP(A39,'Species List'!$A:$G,4,FALSE))</f>
        <v>H</v>
      </c>
      <c r="F39" s="44" t="s">
        <v>147</v>
      </c>
      <c r="G39" s="44" t="str">
        <f>IF(LEN(VLOOKUP(A39,'Species List'!$A:$G,6,FALSE))=0,"",VLOOKUP(A39,'Species List'!$A:$G,6,FALSE))</f>
        <v/>
      </c>
      <c r="H39" s="44">
        <f>VLOOKUP(A39,'Species List'!$A:$G,7,FALSE)</f>
        <v>0</v>
      </c>
      <c r="J39" s="120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2.8037383177570093E-2</v>
      </c>
      <c r="O39" s="102">
        <f t="shared" si="3"/>
        <v>0.11214953271028037</v>
      </c>
    </row>
    <row r="40" spans="1:15" x14ac:dyDescent="0.2">
      <c r="A40" s="109" t="s">
        <v>5315</v>
      </c>
      <c r="B40" s="44" t="str">
        <f>IF(LEN(VLOOKUP(A40,'Species List'!$A:$G,2,FALSE))=0,"",VLOOKUP(A40,'Species List'!$A:$G,2,FALSE))</f>
        <v/>
      </c>
      <c r="C40" s="44">
        <v>1</v>
      </c>
      <c r="D40" s="103">
        <f t="shared" si="0"/>
        <v>1</v>
      </c>
      <c r="E40" s="44" t="str">
        <f>IF(LEN(VLOOKUP(A40,'Species List'!$A:$G,4,FALSE))=0,"",VLOOKUP(A40,'Species List'!$A:$G,4,FALSE))</f>
        <v/>
      </c>
      <c r="F40" s="44" t="s">
        <v>147</v>
      </c>
      <c r="G40" s="44" t="str">
        <f>IF(LEN(VLOOKUP(A40,'Species List'!$A:$G,6,FALSE))=0,"",VLOOKUP(A40,'Species List'!$A:$G,6,FALSE))</f>
        <v/>
      </c>
      <c r="H40" s="44">
        <f>VLOOKUP(A40,'Species List'!$A:$G,7,FALSE)</f>
        <v>0</v>
      </c>
      <c r="J40" s="120" t="s">
        <v>5418</v>
      </c>
      <c r="K40" s="47" t="str">
        <f>VLOOKUP(J40,'Species List'!$H$1:$J$9,2,FALSE)</f>
        <v>&gt;1-5%</v>
      </c>
      <c r="L40" s="47">
        <f>VLOOKUP(K40,'Species List'!$I$1:$N$8,2,FALSE)</f>
        <v>3</v>
      </c>
      <c r="M40" s="104">
        <f t="shared" si="1"/>
        <v>3</v>
      </c>
      <c r="N40" s="102">
        <f t="shared" si="2"/>
        <v>2.8037383177570093E-2</v>
      </c>
      <c r="O40" s="102">
        <f t="shared" si="3"/>
        <v>2.8037383177570093E-2</v>
      </c>
    </row>
    <row r="41" spans="1:15" x14ac:dyDescent="0.2">
      <c r="A41" s="109" t="s">
        <v>5444</v>
      </c>
      <c r="B41" s="44" t="str">
        <f>IF(LEN(VLOOKUP(A41,'Species List'!$A:$G,2,FALSE))=0,"",VLOOKUP(A41,'Species List'!$A:$G,2,FALSE))</f>
        <v>lady fern</v>
      </c>
      <c r="C41" s="44">
        <f>IF(LEN(VLOOKUP(A41,'Species List'!$A:$G,3,FALSE))=0,"",VLOOKUP(A41,'Species List'!$A:$G,3,FALSE))</f>
        <v>5</v>
      </c>
      <c r="D41" s="103">
        <f t="shared" si="0"/>
        <v>5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/>
      </c>
      <c r="H41" s="44">
        <f>VLOOKUP(A41,'Species List'!$A:$G,7,FALSE)</f>
        <v>0</v>
      </c>
      <c r="J41" s="120" t="s">
        <v>5418</v>
      </c>
      <c r="K41" s="47" t="str">
        <f>VLOOKUP(J41,'Species List'!$H$1:$J$9,2,FALSE)</f>
        <v>&gt;1-5%</v>
      </c>
      <c r="L41" s="47">
        <f>VLOOKUP(K41,'Species List'!$I$1:$N$8,2,FALSE)</f>
        <v>3</v>
      </c>
      <c r="M41" s="104">
        <f t="shared" si="1"/>
        <v>3</v>
      </c>
      <c r="N41" s="102">
        <f t="shared" si="2"/>
        <v>2.8037383177570093E-2</v>
      </c>
      <c r="O41" s="102">
        <f t="shared" si="3"/>
        <v>0.14018691588785046</v>
      </c>
    </row>
    <row r="42" spans="1:15" x14ac:dyDescent="0.2">
      <c r="A42" s="109" t="s">
        <v>3737</v>
      </c>
      <c r="B42" s="44" t="str">
        <f>IF(LEN(VLOOKUP(A42,'Species List'!$A:$G,2,FALSE))=0,"",VLOOKUP(A42,'Species List'!$A:$G,2,FALSE))</f>
        <v/>
      </c>
      <c r="C42" s="44">
        <f>IF(LEN(VLOOKUP(A42,'Species List'!$A:$G,3,FALSE))=0,"",VLOOKUP(A42,'Species List'!$A:$G,3,FALSE))</f>
        <v>5</v>
      </c>
      <c r="D42" s="103">
        <f t="shared" si="0"/>
        <v>5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FACW</v>
      </c>
      <c r="H42" s="44">
        <f>VLOOKUP(A42,'Species List'!$A:$G,7,FALSE)</f>
        <v>0</v>
      </c>
      <c r="J42" s="120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4">
        <f t="shared" si="1"/>
        <v>3</v>
      </c>
      <c r="N42" s="102">
        <f t="shared" si="2"/>
        <v>2.8037383177570093E-2</v>
      </c>
      <c r="O42" s="102">
        <f t="shared" si="3"/>
        <v>0.14018691588785046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107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C15" sqref="C15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3" t="s">
        <v>127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</row>
    <row r="2" spans="1:15" x14ac:dyDescent="0.2">
      <c r="A2" s="48" t="s">
        <v>138</v>
      </c>
      <c r="B2" s="47" t="s">
        <v>5440</v>
      </c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 t="s">
        <v>5441</v>
      </c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 t="s">
        <v>5442</v>
      </c>
      <c r="C4" s="108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>
        <v>42909</v>
      </c>
      <c r="C5" s="108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 t="s">
        <v>5439</v>
      </c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4"/>
      <c r="C7" s="144"/>
      <c r="D7" s="144"/>
      <c r="E7" s="144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12" t="s">
        <v>1893</v>
      </c>
      <c r="B12" s="44" t="str">
        <f>IF(LEN(VLOOKUP(A12,'Species List'!$A:$G,2,FALSE))=0,"",VLOOKUP(A12,'Species List'!$A:$G,2,FALSE))</f>
        <v>Virginia wildrye</v>
      </c>
      <c r="C12" s="44">
        <f>IF(LEN(VLOOKUP(A12,'Species List'!$A:$G,3,FALSE))=0,"",VLOOKUP(A12,'Species List'!$A:$G,3,FALSE))</f>
        <v>4</v>
      </c>
      <c r="D12" s="103">
        <f>VALUE(C12)</f>
        <v>4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119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102">
        <f t="shared" ref="N12:N75" si="0">L12/$L$151</f>
        <v>0.16216216216216217</v>
      </c>
      <c r="O12" s="31">
        <f>D12*N12</f>
        <v>0.64864864864864868</v>
      </c>
    </row>
    <row r="13" spans="1:15" x14ac:dyDescent="0.2">
      <c r="A13" s="112" t="s">
        <v>1142</v>
      </c>
      <c r="B13" s="44" t="str">
        <f>IF(LEN(VLOOKUP(A13,'Species List'!$A:$G,2,FALSE))=0,"",VLOOKUP(A13,'Species List'!$A:$G,2,FALSE))</f>
        <v>starry sedge</v>
      </c>
      <c r="C13" s="44">
        <f>IF(LEN(VLOOKUP(A13,'Species List'!$A:$G,3,FALSE))=0,"",VLOOKUP(A13,'Species List'!$A:$G,3,FALSE))</f>
        <v>4</v>
      </c>
      <c r="D13" s="103">
        <f t="shared" ref="D13:D18" si="1">VALUE(C13)</f>
        <v>4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FACU</v>
      </c>
      <c r="H13" s="44">
        <f>VLOOKUP(A13,'Species List'!$A:$G,7,FALSE)</f>
        <v>0</v>
      </c>
      <c r="J13" s="119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0.16216216216216217</v>
      </c>
      <c r="O13" s="102">
        <f t="shared" ref="O13:O76" si="3">D13*N13</f>
        <v>0.64864864864864868</v>
      </c>
    </row>
    <row r="14" spans="1:15" x14ac:dyDescent="0.2">
      <c r="A14" s="112" t="s">
        <v>1881</v>
      </c>
      <c r="B14" s="44" t="str">
        <f>IF(LEN(VLOOKUP(A14,'Species List'!$A:$G,2,FALSE))=0,"",VLOOKUP(A14,'Species List'!$A:$G,2,FALSE))</f>
        <v>bottlebrush grass</v>
      </c>
      <c r="C14" s="44">
        <f>IF(LEN(VLOOKUP(A14,'Species List'!$A:$G,3,FALSE))=0,"",VLOOKUP(A14,'Species List'!$A:$G,3,FALSE))</f>
        <v>6</v>
      </c>
      <c r="D14" s="103">
        <f t="shared" si="1"/>
        <v>6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FACU</v>
      </c>
      <c r="H14" s="44">
        <f>VLOOKUP(A14,'Species List'!$A:$G,7,FALSE)</f>
        <v>0</v>
      </c>
      <c r="J14" s="119" t="s">
        <v>5420</v>
      </c>
      <c r="K14" s="47" t="str">
        <f>VLOOKUP(J14,'Species List'!$H$1:$J$9,2,FALSE)</f>
        <v>&gt;0-1%</v>
      </c>
      <c r="L14" s="47">
        <f>VLOOKUP(K14,'Species List'!$I$1:$N$8,2,FALSE)</f>
        <v>0.5</v>
      </c>
      <c r="M14" s="104">
        <f t="shared" si="2"/>
        <v>0.5</v>
      </c>
      <c r="N14" s="102">
        <f t="shared" si="0"/>
        <v>2.7027027027027029E-2</v>
      </c>
      <c r="O14" s="102">
        <f t="shared" si="3"/>
        <v>0.16216216216216217</v>
      </c>
    </row>
    <row r="15" spans="1:15" x14ac:dyDescent="0.2">
      <c r="A15" s="112"/>
      <c r="B15" s="44" t="s">
        <v>5447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119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0.16216216216216217</v>
      </c>
      <c r="O15" s="102" t="e">
        <f t="shared" si="3"/>
        <v>#N/A</v>
      </c>
    </row>
    <row r="16" spans="1:15" x14ac:dyDescent="0.2">
      <c r="A16" s="112"/>
      <c r="B16" s="44" t="s">
        <v>5446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119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0.16216216216216217</v>
      </c>
      <c r="O16" s="102" t="e">
        <f t="shared" si="3"/>
        <v>#N/A</v>
      </c>
    </row>
    <row r="17" spans="1:15" x14ac:dyDescent="0.2">
      <c r="A17" s="112" t="s">
        <v>2548</v>
      </c>
      <c r="B17" s="44" t="str">
        <f>IF(LEN(VLOOKUP(A17,'Species List'!$A:$G,2,FALSE))=0,"",VLOOKUP(A17,'Species List'!$A:$G,2,FALSE))</f>
        <v>path rush</v>
      </c>
      <c r="C17" s="44">
        <f>IF(LEN(VLOOKUP(A17,'Species List'!$A:$G,3,FALSE))=0,"",VLOOKUP(A17,'Species List'!$A:$G,3,FALSE))</f>
        <v>1</v>
      </c>
      <c r="D17" s="103">
        <f t="shared" si="1"/>
        <v>1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</v>
      </c>
      <c r="H17" s="44">
        <f>VLOOKUP(A17,'Species List'!$A:$G,7,FALSE)</f>
        <v>0</v>
      </c>
      <c r="J17" s="119" t="s">
        <v>5418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0.16216216216216217</v>
      </c>
      <c r="O17" s="102">
        <f t="shared" si="3"/>
        <v>0.16216216216216217</v>
      </c>
    </row>
    <row r="18" spans="1:15" x14ac:dyDescent="0.2">
      <c r="A18" s="121" t="s">
        <v>3290</v>
      </c>
      <c r="B18" s="44" t="str">
        <f>IF(LEN(VLOOKUP(A18,'Species List'!$A:$G,2,FALSE))=0,"",VLOOKUP(A18,'Species List'!$A:$G,2,FALSE))</f>
        <v>reed canary grass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FACW+</v>
      </c>
      <c r="H18" s="44">
        <f>VLOOKUP(A18,'Species List'!$A:$G,7,FALSE)</f>
        <v>0</v>
      </c>
      <c r="J18" s="122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0.16216216216216217</v>
      </c>
      <c r="O18" s="102">
        <f t="shared" si="3"/>
        <v>0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5" t="s">
        <v>5387</v>
      </c>
      <c r="J151" s="146"/>
      <c r="K151" s="147"/>
      <c r="L151" s="63">
        <f>SUMIF(L10:L150,"&gt;=0")</f>
        <v>18.5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48" t="s">
        <v>4840</v>
      </c>
      <c r="B1" s="148"/>
      <c r="C1" s="148"/>
      <c r="D1" s="148"/>
      <c r="E1" s="148"/>
      <c r="F1" s="148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COUNTIF(Woody!$F$10:$F$126,"Native")</f>
        <v>13</v>
      </c>
      <c r="C4" s="106">
        <f>COUNTIF(Forbs!$F$10:$F$148,"Native")</f>
        <v>25</v>
      </c>
      <c r="D4" s="106">
        <f>COUNTIF(Grasses!$F$10:$F$149,"Native")</f>
        <v>4</v>
      </c>
      <c r="E4" s="106">
        <f>AVERAGE(B4:D4)</f>
        <v>14</v>
      </c>
      <c r="F4" s="106">
        <f>SUM(B4:D4)</f>
        <v>42</v>
      </c>
    </row>
    <row r="5" spans="1:6" ht="17.399999999999999" x14ac:dyDescent="0.3">
      <c r="A5" s="53" t="s">
        <v>4845</v>
      </c>
      <c r="B5" s="106">
        <f>COUNTIF(Woody!$F10:$F176,"Introduced")</f>
        <v>2</v>
      </c>
      <c r="C5" s="106">
        <f>COUNTIF(Forbs!$F10:$F199,"Introduced")</f>
        <v>6</v>
      </c>
      <c r="D5" s="106">
        <f>COUNTIF(Grasses!$F10:$F199,"Introduced")</f>
        <v>1</v>
      </c>
      <c r="E5" s="106">
        <f t="shared" ref="E5:E6" si="0">AVERAGE(B5:D5)</f>
        <v>3</v>
      </c>
      <c r="F5" s="106">
        <f>SUM(B5:D5)</f>
        <v>9</v>
      </c>
    </row>
    <row r="6" spans="1:6" s="83" customFormat="1" ht="19.8" x14ac:dyDescent="0.4">
      <c r="A6" s="53" t="s">
        <v>5422</v>
      </c>
      <c r="B6" s="106">
        <f>SUM(B4:B5)</f>
        <v>15</v>
      </c>
      <c r="C6" s="106">
        <f>SUM(C4:C5)</f>
        <v>31</v>
      </c>
      <c r="D6" s="106">
        <f>SUM(D4:D5)</f>
        <v>5</v>
      </c>
      <c r="E6" s="106">
        <f t="shared" si="0"/>
        <v>17</v>
      </c>
      <c r="F6" s="106">
        <f>SUM(B6:D6)</f>
        <v>51</v>
      </c>
    </row>
    <row r="7" spans="1:6" ht="17.399999999999999" x14ac:dyDescent="0.3">
      <c r="A7" s="53" t="s">
        <v>4846</v>
      </c>
      <c r="B7" s="106">
        <f>AVERAGEIF(Woody!D12:D127,"&gt;0")</f>
        <v>3.0769230769230771</v>
      </c>
      <c r="C7" s="106">
        <f>AVERAGEIF(Forbs!D12:D150,"&gt;0")</f>
        <v>3.8695652173913042</v>
      </c>
      <c r="D7" s="106">
        <f>AVERAGEIF(Grasses!D12:D150,"&gt;0")</f>
        <v>3.75</v>
      </c>
      <c r="E7" s="106">
        <f>AVERAGE(B7:D7)</f>
        <v>3.5654960981047936</v>
      </c>
      <c r="F7" s="106">
        <f>(SUMIF(Woody!D12:D127,"&gt;0")+SUMIF(Forbs!D12:D150,"&gt;0")+SUMIF(Grasses!D12:D150,"&gt;0"))/(COUNTIF(Woody!D12:D127,"&gt;0")+COUNTIF(Forbs!D12:D150,"&gt;0")+COUNTIF(Grasses!D12:D150,"&gt;0"))</f>
        <v>3.6</v>
      </c>
    </row>
    <row r="8" spans="1:6" s="31" customFormat="1" ht="19.8" x14ac:dyDescent="0.4">
      <c r="A8" s="53" t="s">
        <v>5423</v>
      </c>
      <c r="B8" s="106">
        <f>AVERAGEIF(Woody!D12:D127,"&gt;=0")</f>
        <v>2.6666666666666665</v>
      </c>
      <c r="C8" s="106">
        <f>AVERAGEIF(Forbs!D12:D150,"&gt;=0")</f>
        <v>2.870967741935484</v>
      </c>
      <c r="D8" s="106">
        <f>AVERAGEIF(Grasses!D12:D150,"&gt;=0")</f>
        <v>3</v>
      </c>
      <c r="E8" s="106">
        <f>AVERAGE(B8:D8)</f>
        <v>2.8458781362007168</v>
      </c>
      <c r="F8" s="106">
        <f>(SUMIF(Woody!D12:D127,"&gt;=0")+SUMIF(Forbs!D12:D150,"&gt;=0")+SUMIF(Grasses!D12:D150,"&gt;=0"))/(COUNTIF(Woody!D12:D127,"&gt;=0")+COUNTIF(Forbs!D12:D150,"&gt;=0")+COUNTIF(Grasses!D12:D150,"&gt;=0"))</f>
        <v>2.8235294117647061</v>
      </c>
    </row>
    <row r="9" spans="1:6" ht="17.399999999999999" x14ac:dyDescent="0.3">
      <c r="A9" s="53" t="s">
        <v>4839</v>
      </c>
      <c r="B9" s="106">
        <f>SQRT(B4)*B7</f>
        <v>11.094003924504582</v>
      </c>
      <c r="C9" s="106">
        <f>SQRT(C4)*C7</f>
        <v>19.34782608695652</v>
      </c>
      <c r="D9" s="106">
        <f>SQRT(D4)*D7</f>
        <v>7.5</v>
      </c>
      <c r="E9" s="106">
        <f>SQRT(E4)*E7</f>
        <v>13.340864812987466</v>
      </c>
      <c r="F9" s="106">
        <f>SQRT(F4)*F7</f>
        <v>23.330666514268298</v>
      </c>
    </row>
    <row r="10" spans="1:6" s="84" customFormat="1" ht="19.8" x14ac:dyDescent="0.4">
      <c r="A10" s="53" t="s">
        <v>5424</v>
      </c>
      <c r="B10" s="106">
        <f>SQRT(B6)*B8</f>
        <v>10.327955589886445</v>
      </c>
      <c r="C10" s="106">
        <f>SQRT(C6)*C8</f>
        <v>15.984871880382965</v>
      </c>
      <c r="D10" s="106">
        <f>SQRT(D6)*D8</f>
        <v>6.7082039324993694</v>
      </c>
      <c r="E10" s="106">
        <f>SQRT(E6)*E8</f>
        <v>11.733856153191478</v>
      </c>
      <c r="F10" s="106">
        <f>SQRT(F6)*F8</f>
        <v>20.164033210003343</v>
      </c>
    </row>
    <row r="11" spans="1:6" ht="17.399999999999999" x14ac:dyDescent="0.3">
      <c r="A11" s="53" t="s">
        <v>4847</v>
      </c>
      <c r="B11" s="106">
        <f>SUMIF(Woody!$M$10:$M$127,"&gt;=0")</f>
        <v>150</v>
      </c>
      <c r="C11" s="106">
        <f>SUMIF(Forbs!$M$10:$M$151,"&gt;=0")</f>
        <v>107</v>
      </c>
      <c r="D11" s="106">
        <f>SUMIF(Grasses!$M$10:$M$150,"&gt;=0")</f>
        <v>18.5</v>
      </c>
      <c r="E11" s="106">
        <f>AVERAGE(B11:D11)</f>
        <v>91.833333333333329</v>
      </c>
      <c r="F11" s="106">
        <f>SUM(B11:D11)</f>
        <v>275.5</v>
      </c>
    </row>
    <row r="12" spans="1:6" ht="17.399999999999999" x14ac:dyDescent="0.3">
      <c r="A12" s="53" t="s">
        <v>5388</v>
      </c>
      <c r="B12" s="106">
        <f>SUMIF(Woody!$F$10:$F$127,"Introduced",Woody!$L$10:$L$127)</f>
        <v>40.5</v>
      </c>
      <c r="C12" s="106">
        <f>SUMIF(Forbs!$F$10:$F$151,"Introduced",Forbs!$L$10:$L$151)</f>
        <v>27.5</v>
      </c>
      <c r="D12" s="106">
        <f>SUMIF(Grasses!$F$10:$F$150,"Introduced",Grasses!$L$10:$L$150)</f>
        <v>3</v>
      </c>
      <c r="E12" s="106">
        <f>AVERAGE(B12:D12)</f>
        <v>23.666666666666668</v>
      </c>
      <c r="F12" s="106">
        <f>SUM(B12:D12)</f>
        <v>71</v>
      </c>
    </row>
    <row r="13" spans="1:6" ht="18" thickBot="1" x14ac:dyDescent="0.35">
      <c r="A13" s="54" t="s">
        <v>4848</v>
      </c>
      <c r="B13" s="107">
        <f>B12/B11</f>
        <v>0.27</v>
      </c>
      <c r="C13" s="107">
        <f>C12/C11</f>
        <v>0.2570093457943925</v>
      </c>
      <c r="D13" s="107">
        <f>D12/D11</f>
        <v>0.16216216216216217</v>
      </c>
      <c r="E13" s="107">
        <f>E12/E11</f>
        <v>0.25771324863883849</v>
      </c>
      <c r="F13" s="107">
        <f>F12/F11</f>
        <v>0.25771324863883849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SUMIF(Woody!$O$10:$O$127,"&gt;=0")</f>
        <v>2.0600000000000005</v>
      </c>
      <c r="C15" s="105">
        <f>SUMIF(Forbs!$O$10:$O$150,"&gt;=0")</f>
        <v>2.2102803738317753</v>
      </c>
      <c r="D15" s="105">
        <f>SUMIF(Grasses!$O$10:$O$150,"&gt;=0")</f>
        <v>1.6216216216216219</v>
      </c>
      <c r="E15" s="105">
        <f>AVERAGE(B15:D15)</f>
        <v>1.9639673318177993</v>
      </c>
      <c r="F15" s="106">
        <f>SUM(B15:D15)</f>
        <v>5.8919019954533978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2022-02-03T19:46:45Z</dcterms:modified>
</cp:coreProperties>
</file>