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39A1D47C-0806-485F-9E05-509EA994D52B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C12" i="6"/>
  <c r="C13" i="10"/>
  <c r="C15" i="10"/>
  <c r="C16" i="10"/>
  <c r="C17" i="10"/>
  <c r="C18" i="10"/>
  <c r="C19" i="10"/>
  <c r="F15" i="9"/>
  <c r="F16" i="9"/>
  <c r="F17" i="9"/>
  <c r="F18" i="9"/>
  <c r="C13" i="9"/>
  <c r="C15" i="9"/>
  <c r="C16" i="9"/>
  <c r="C17" i="9"/>
  <c r="C18" i="9"/>
  <c r="B12" i="9" l="1"/>
  <c r="D16" i="9"/>
  <c r="C13" i="6" l="1"/>
  <c r="C15" i="6"/>
  <c r="C16" i="6"/>
  <c r="C17" i="6"/>
  <c r="C18" i="6"/>
  <c r="C19" i="6"/>
  <c r="C20" i="6"/>
  <c r="C20" i="10"/>
  <c r="C21" i="10"/>
  <c r="C22" i="10"/>
  <c r="C23" i="10"/>
  <c r="C24" i="10"/>
  <c r="C25" i="10"/>
  <c r="C27" i="10"/>
  <c r="C30" i="10"/>
  <c r="C31" i="10"/>
  <c r="C32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5" i="9"/>
  <c r="D17" i="9"/>
  <c r="D18" i="9"/>
  <c r="C19" i="9"/>
  <c r="C22" i="9"/>
  <c r="C23" i="9"/>
  <c r="C24" i="9"/>
  <c r="C25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F23" i="9"/>
  <c r="D23" i="9"/>
  <c r="D24" i="9"/>
  <c r="D25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E17" i="9"/>
  <c r="G17" i="9"/>
  <c r="H17" i="9"/>
  <c r="K17" i="9"/>
  <c r="L17" i="9" s="1"/>
  <c r="M17" i="9" s="1"/>
  <c r="B18" i="9"/>
  <c r="E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D20" i="9"/>
  <c r="E20" i="9"/>
  <c r="G20" i="9"/>
  <c r="H20" i="9"/>
  <c r="K20" i="9"/>
  <c r="L20" i="9" s="1"/>
  <c r="M20" i="9" s="1"/>
  <c r="B21" i="9"/>
  <c r="D21" i="9"/>
  <c r="E21" i="9"/>
  <c r="G21" i="9"/>
  <c r="H21" i="9"/>
  <c r="K21" i="9"/>
  <c r="L21" i="9" s="1"/>
  <c r="M21" i="9" s="1"/>
  <c r="B22" i="9"/>
  <c r="D22" i="9"/>
  <c r="E22" i="9"/>
  <c r="F22" i="9"/>
  <c r="G22" i="9"/>
  <c r="H22" i="9"/>
  <c r="K22" i="9"/>
  <c r="L22" i="9" s="1"/>
  <c r="M22" i="9" s="1"/>
  <c r="B23" i="9"/>
  <c r="E23" i="9"/>
  <c r="G23" i="9"/>
  <c r="H23" i="9"/>
  <c r="K23" i="9"/>
  <c r="L23" i="9" s="1"/>
  <c r="M23" i="9" s="1"/>
  <c r="B24" i="9"/>
  <c r="E24" i="9"/>
  <c r="F24" i="9"/>
  <c r="G24" i="9"/>
  <c r="H24" i="9"/>
  <c r="K24" i="9"/>
  <c r="L24" i="9" s="1"/>
  <c r="M24" i="9" s="1"/>
  <c r="B25" i="9"/>
  <c r="E25" i="9"/>
  <c r="F25" i="9"/>
  <c r="G25" i="9"/>
  <c r="H25" i="9"/>
  <c r="K25" i="9"/>
  <c r="L25" i="9" s="1"/>
  <c r="M25" i="9" s="1"/>
  <c r="B26" i="9"/>
  <c r="C26" i="9"/>
  <c r="D26" i="9" s="1"/>
  <c r="E26" i="9"/>
  <c r="F26" i="9"/>
  <c r="G26" i="9"/>
  <c r="H26" i="9"/>
  <c r="K26" i="9"/>
  <c r="L26" i="9" s="1"/>
  <c r="M26" i="9" s="1"/>
  <c r="B27" i="9"/>
  <c r="C27" i="9"/>
  <c r="D27" i="9" s="1"/>
  <c r="E27" i="9"/>
  <c r="F27" i="9"/>
  <c r="G27" i="9"/>
  <c r="H27" i="9"/>
  <c r="K27" i="9"/>
  <c r="L27" i="9" s="1"/>
  <c r="M27" i="9" s="1"/>
  <c r="B28" i="9"/>
  <c r="C28" i="9"/>
  <c r="D28" i="9" s="1"/>
  <c r="E28" i="9"/>
  <c r="F28" i="9"/>
  <c r="G28" i="9"/>
  <c r="H28" i="9"/>
  <c r="K28" i="9"/>
  <c r="L28" i="9" s="1"/>
  <c r="M28" i="9" s="1"/>
  <c r="B29" i="9"/>
  <c r="C29" i="9"/>
  <c r="D29" i="9" s="1"/>
  <c r="E29" i="9"/>
  <c r="F29" i="9"/>
  <c r="G29" i="9"/>
  <c r="H29" i="9"/>
  <c r="K29" i="9"/>
  <c r="L29" i="9" s="1"/>
  <c r="B7" i="7" l="1"/>
  <c r="B11" i="7"/>
  <c r="B5" i="7"/>
  <c r="B4" i="7"/>
  <c r="B12" i="7"/>
  <c r="B8" i="7"/>
  <c r="M150" i="6"/>
  <c r="B13" i="7" l="1"/>
  <c r="B9" i="7"/>
  <c r="B6" i="7"/>
  <c r="H15" i="6"/>
  <c r="H14" i="6"/>
  <c r="H13" i="6"/>
  <c r="H12" i="6"/>
  <c r="H14" i="10"/>
  <c r="H13" i="10"/>
  <c r="H12" i="10"/>
  <c r="B10" i="7" l="1"/>
  <c r="K148" i="10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E29" i="10"/>
  <c r="B29" i="10"/>
  <c r="K28" i="10"/>
  <c r="L28" i="10" s="1"/>
  <c r="H28" i="10"/>
  <c r="G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50" i="9"/>
  <c r="L150" i="9" s="1"/>
  <c r="H150" i="9"/>
  <c r="G150" i="9"/>
  <c r="F150" i="9"/>
  <c r="E150" i="9"/>
  <c r="C150" i="9"/>
  <c r="D150" i="9" s="1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C148" i="9"/>
  <c r="D148" i="9" s="1"/>
  <c r="B148" i="9"/>
  <c r="K147" i="9"/>
  <c r="L147" i="9" s="1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K143" i="9"/>
  <c r="L143" i="9" s="1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C140" i="9"/>
  <c r="D140" i="9" s="1"/>
  <c r="B140" i="9"/>
  <c r="K139" i="9"/>
  <c r="L139" i="9" s="1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C138" i="9"/>
  <c r="D138" i="9" s="1"/>
  <c r="B138" i="9"/>
  <c r="K137" i="9"/>
  <c r="L137" i="9" s="1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K129" i="9"/>
  <c r="L129" i="9" s="1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K31" i="9"/>
  <c r="L31" i="9" s="1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C30" i="9"/>
  <c r="D30" i="9" s="1"/>
  <c r="B30" i="9"/>
  <c r="C7" i="7" l="1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51" i="9"/>
  <c r="N14" i="10" l="1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8" i="9"/>
  <c r="O28" i="9" s="1"/>
  <c r="N27" i="9"/>
  <c r="O27" i="9" s="1"/>
  <c r="N23" i="9"/>
  <c r="O23" i="9" s="1"/>
  <c r="N13" i="9"/>
  <c r="O13" i="9" s="1"/>
  <c r="N29" i="9"/>
  <c r="O29" i="9" s="1"/>
  <c r="N22" i="9"/>
  <c r="O22" i="9" s="1"/>
  <c r="N25" i="9"/>
  <c r="O25" i="9" s="1"/>
  <c r="N17" i="9"/>
  <c r="O17" i="9" s="1"/>
  <c r="N26" i="9"/>
  <c r="O26" i="9" s="1"/>
  <c r="N24" i="9"/>
  <c r="O24" i="9" s="1"/>
  <c r="N16" i="9"/>
  <c r="O16" i="9" s="1"/>
  <c r="N15" i="9"/>
  <c r="O15" i="9" s="1"/>
  <c r="N19" i="9"/>
  <c r="O19" i="9" s="1"/>
  <c r="N14" i="9"/>
  <c r="O14" i="9" s="1"/>
  <c r="N20" i="9"/>
  <c r="O20" i="9" s="1"/>
  <c r="N12" i="9"/>
  <c r="O12" i="9" s="1"/>
  <c r="N21" i="9"/>
  <c r="O21" i="9" s="1"/>
  <c r="N18" i="9"/>
  <c r="O18" i="9" s="1"/>
  <c r="N66" i="9"/>
  <c r="O66" i="9" s="1"/>
  <c r="N143" i="9"/>
  <c r="O143" i="9" s="1"/>
  <c r="N120" i="9"/>
  <c r="O120" i="9" s="1"/>
  <c r="N148" i="9"/>
  <c r="O148" i="9" s="1"/>
  <c r="N109" i="9"/>
  <c r="O109" i="9" s="1"/>
  <c r="N55" i="9"/>
  <c r="O55" i="9" s="1"/>
  <c r="N132" i="9"/>
  <c r="O132" i="9" s="1"/>
  <c r="N144" i="9"/>
  <c r="O144" i="9" s="1"/>
  <c r="N102" i="9"/>
  <c r="O102" i="9" s="1"/>
  <c r="N146" i="9"/>
  <c r="O146" i="9" s="1"/>
  <c r="N105" i="9"/>
  <c r="O105" i="9" s="1"/>
  <c r="N128" i="9"/>
  <c r="O128" i="9" s="1"/>
  <c r="N31" i="9"/>
  <c r="O31" i="9" s="1"/>
  <c r="N75" i="9"/>
  <c r="O75" i="9" s="1"/>
  <c r="N67" i="9"/>
  <c r="O67" i="9" s="1"/>
  <c r="N124" i="9"/>
  <c r="O124" i="9" s="1"/>
  <c r="N79" i="9"/>
  <c r="O79" i="9" s="1"/>
  <c r="N82" i="9"/>
  <c r="O82" i="9" s="1"/>
  <c r="N116" i="9"/>
  <c r="O116" i="9" s="1"/>
  <c r="N149" i="9"/>
  <c r="O149" i="9" s="1"/>
  <c r="N121" i="9"/>
  <c r="O121" i="9" s="1"/>
  <c r="N91" i="9"/>
  <c r="O91" i="9" s="1"/>
  <c r="N136" i="9"/>
  <c r="O136" i="9" s="1"/>
  <c r="N71" i="9"/>
  <c r="O71" i="9" s="1"/>
  <c r="N62" i="9"/>
  <c r="O62" i="9" s="1"/>
  <c r="N107" i="9"/>
  <c r="O107" i="9" s="1"/>
  <c r="N140" i="9"/>
  <c r="O140" i="9" s="1"/>
  <c r="N65" i="9"/>
  <c r="O65" i="9" s="1"/>
  <c r="N57" i="9"/>
  <c r="O57" i="9" s="1"/>
  <c r="N150" i="9"/>
  <c r="O150" i="9" s="1"/>
  <c r="N98" i="9"/>
  <c r="O98" i="9" s="1"/>
  <c r="N34" i="9"/>
  <c r="O34" i="9" s="1"/>
  <c r="N111" i="9"/>
  <c r="O111" i="9" s="1"/>
  <c r="N123" i="9"/>
  <c r="O123" i="9" s="1"/>
  <c r="N47" i="9"/>
  <c r="O47" i="9" s="1"/>
  <c r="N81" i="9"/>
  <c r="O81" i="9" s="1"/>
  <c r="N51" i="9"/>
  <c r="O51" i="9" s="1"/>
  <c r="N94" i="9"/>
  <c r="O94" i="9" s="1"/>
  <c r="N95" i="9"/>
  <c r="O95" i="9" s="1"/>
  <c r="N43" i="9"/>
  <c r="O43" i="9" s="1"/>
  <c r="N113" i="9"/>
  <c r="O113" i="9" s="1"/>
  <c r="N42" i="9"/>
  <c r="O42" i="9" s="1"/>
  <c r="N133" i="9"/>
  <c r="O133" i="9" s="1"/>
  <c r="N87" i="9"/>
  <c r="O87" i="9" s="1"/>
  <c r="N99" i="9"/>
  <c r="O99" i="9" s="1"/>
  <c r="N70" i="9"/>
  <c r="O70" i="9" s="1"/>
  <c r="N61" i="9"/>
  <c r="O61" i="9" s="1"/>
  <c r="N129" i="9"/>
  <c r="O129" i="9" s="1"/>
  <c r="N35" i="9"/>
  <c r="O35" i="9" s="1"/>
  <c r="N77" i="9"/>
  <c r="O77" i="9" s="1"/>
  <c r="N89" i="9"/>
  <c r="O89" i="9" s="1"/>
  <c r="N112" i="9"/>
  <c r="O112" i="9" s="1"/>
  <c r="N135" i="9"/>
  <c r="O135" i="9" s="1"/>
  <c r="N59" i="9"/>
  <c r="O59" i="9" s="1"/>
  <c r="N50" i="9"/>
  <c r="O50" i="9" s="1"/>
  <c r="N147" i="9"/>
  <c r="O147" i="9" s="1"/>
  <c r="N73" i="9"/>
  <c r="O73" i="9" s="1"/>
  <c r="N74" i="9"/>
  <c r="O74" i="9" s="1"/>
  <c r="N46" i="9"/>
  <c r="O46" i="9" s="1"/>
  <c r="N119" i="9"/>
  <c r="O119" i="9" s="1"/>
  <c r="N33" i="9"/>
  <c r="O33" i="9" s="1"/>
  <c r="N37" i="9"/>
  <c r="O37" i="9" s="1"/>
  <c r="N90" i="9"/>
  <c r="O90" i="9" s="1"/>
  <c r="N39" i="9"/>
  <c r="O39" i="9" s="1"/>
  <c r="N139" i="9"/>
  <c r="O139" i="9" s="1"/>
  <c r="N97" i="9"/>
  <c r="O97" i="9" s="1"/>
  <c r="N45" i="9"/>
  <c r="O45" i="9" s="1"/>
  <c r="N58" i="9"/>
  <c r="O58" i="9" s="1"/>
  <c r="N141" i="9"/>
  <c r="O141" i="9" s="1"/>
  <c r="N115" i="9"/>
  <c r="O115" i="9" s="1"/>
  <c r="N30" i="9"/>
  <c r="O30" i="9" s="1"/>
  <c r="N131" i="9"/>
  <c r="O131" i="9" s="1"/>
  <c r="N78" i="9"/>
  <c r="O78" i="9" s="1"/>
  <c r="N101" i="9"/>
  <c r="O101" i="9" s="1"/>
  <c r="N49" i="9"/>
  <c r="O49" i="9" s="1"/>
  <c r="N103" i="9"/>
  <c r="O103" i="9" s="1"/>
  <c r="N137" i="9"/>
  <c r="O137" i="9" s="1"/>
  <c r="N41" i="9"/>
  <c r="O41" i="9" s="1"/>
  <c r="N63" i="9"/>
  <c r="O63" i="9" s="1"/>
  <c r="N108" i="9"/>
  <c r="O108" i="9" s="1"/>
  <c r="N127" i="9"/>
  <c r="O127" i="9" s="1"/>
  <c r="N83" i="9"/>
  <c r="O83" i="9" s="1"/>
  <c r="N53" i="9"/>
  <c r="O53" i="9" s="1"/>
  <c r="N54" i="9"/>
  <c r="O54" i="9" s="1"/>
  <c r="N69" i="9"/>
  <c r="O69" i="9" s="1"/>
  <c r="N145" i="9"/>
  <c r="O145" i="9" s="1"/>
  <c r="N38" i="9"/>
  <c r="O38" i="9" s="1"/>
  <c r="N125" i="9"/>
  <c r="O125" i="9" s="1"/>
  <c r="N93" i="9"/>
  <c r="O93" i="9" s="1"/>
  <c r="N117" i="9"/>
  <c r="O117" i="9" s="1"/>
  <c r="N85" i="9"/>
  <c r="O85" i="9" s="1"/>
  <c r="N86" i="9"/>
  <c r="O86" i="9" s="1"/>
  <c r="N142" i="9"/>
  <c r="O142" i="9" s="1"/>
  <c r="N138" i="9"/>
  <c r="O138" i="9" s="1"/>
  <c r="N134" i="9"/>
  <c r="O134" i="9" s="1"/>
  <c r="N130" i="9"/>
  <c r="O13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4" i="9"/>
  <c r="O104" i="9" s="1"/>
  <c r="N100" i="9"/>
  <c r="O100" i="9" s="1"/>
  <c r="N96" i="9"/>
  <c r="O96" i="9" s="1"/>
  <c r="N92" i="9"/>
  <c r="O92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D12" i="7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D11" i="7" s="1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F11" i="7" l="1"/>
  <c r="F13" i="7" s="1"/>
  <c r="E11" i="7"/>
  <c r="E13" i="7" s="1"/>
  <c r="D13" i="7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D15" i="7" l="1"/>
  <c r="E15" i="7" l="1"/>
  <c r="F15" i="7"/>
  <c r="F10" i="7"/>
  <c r="F9" i="7"/>
</calcChain>
</file>

<file path=xl/sharedStrings.xml><?xml version="1.0" encoding="utf-8"?>
<sst xmlns="http://schemas.openxmlformats.org/spreadsheetml/2006/main" count="13147" uniqueCount="5445">
  <si>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</si>
  <si>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</si>
  <si>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</si>
  <si>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</si>
  <si>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</si>
  <si>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</si>
  <si>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</si>
  <si>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</si>
  <si>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</si>
  <si>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</si>
  <si>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</si>
  <si>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</si>
  <si>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</si>
  <si>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</si>
  <si>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</si>
  <si>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</si>
  <si>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</si>
  <si>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</si>
  <si>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</si>
  <si>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</si>
  <si>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</si>
  <si>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</si>
  <si>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</si>
  <si>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</si>
  <si>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</si>
  <si>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</si>
  <si>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</si>
  <si>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</si>
  <si>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</si>
  <si>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</si>
  <si>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</si>
  <si>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</si>
  <si>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</si>
  <si>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</si>
  <si>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</si>
  <si>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</si>
  <si>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</si>
  <si>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</si>
  <si>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</si>
  <si>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</si>
  <si>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</si>
  <si>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</si>
  <si>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</si>
  <si>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</si>
  <si>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</si>
  <si>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</si>
  <si>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</si>
  <si>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</si>
  <si>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</si>
  <si>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</si>
  <si>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</si>
  <si>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</si>
  <si>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</si>
  <si>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</si>
  <si>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</si>
  <si>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</si>
  <si>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</si>
  <si>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</si>
  <si>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</si>
  <si>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</si>
  <si>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</si>
  <si>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</si>
  <si>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</si>
  <si>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</si>
  <si>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</si>
  <si>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</si>
  <si>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</si>
  <si>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</si>
  <si>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</si>
  <si>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</si>
  <si>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</si>
  <si>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</si>
  <si>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</si>
  <si>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</si>
  <si>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</si>
  <si>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</si>
  <si>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</si>
  <si>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</si>
  <si>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</si>
  <si>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</si>
  <si>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</si>
  <si>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</si>
  <si>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</si>
  <si>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</si>
  <si>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</si>
  <si>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</si>
  <si>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</si>
  <si>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</si>
  <si>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</si>
  <si>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</si>
  <si>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</si>
  <si>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</si>
  <si>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</si>
  <si>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</si>
  <si>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</si>
  <si>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</si>
  <si>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</si>
  <si>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</si>
  <si>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</si>
  <si>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</si>
  <si>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</si>
  <si>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</si>
  <si>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</si>
  <si>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</si>
  <si>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</si>
  <si>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</si>
  <si>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</si>
  <si>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</si>
  <si>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</si>
  <si>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</si>
  <si>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</si>
  <si>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</si>
  <si>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</si>
  <si>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</si>
  <si>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</si>
  <si>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</si>
  <si>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</si>
  <si>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</si>
  <si>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</si>
  <si>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</si>
  <si>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</si>
  <si>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</si>
  <si>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</si>
  <si>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</si>
  <si>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</si>
  <si>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</si>
  <si>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</si>
  <si>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</si>
  <si>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</si>
  <si>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</si>
  <si>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</si>
  <si>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</si>
  <si>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</si>
  <si>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</si>
  <si>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</si>
  <si>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</si>
  <si>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</si>
  <si>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</si>
  <si>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</si>
  <si>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</si>
  <si>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</si>
  <si>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</si>
  <si>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</si>
  <si>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</si>
  <si>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</si>
  <si>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</si>
  <si>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</si>
  <si>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</si>
  <si>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</si>
  <si>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</si>
  <si>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</si>
  <si>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</si>
  <si>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</si>
  <si>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</si>
  <si>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</si>
  <si>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</si>
  <si>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</si>
  <si>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</si>
  <si>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</si>
  <si>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</si>
  <si>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</si>
  <si>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</si>
  <si>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</si>
  <si>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</si>
  <si>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</si>
  <si>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</si>
  <si>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</si>
  <si>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</si>
  <si>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</si>
  <si>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</si>
  <si>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</si>
  <si>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</si>
  <si>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</si>
  <si>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</si>
  <si>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</si>
  <si>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</si>
  <si>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</si>
  <si>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</si>
  <si>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</si>
  <si>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</si>
  <si>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</si>
  <si>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</si>
  <si>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</si>
  <si>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</si>
  <si>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</si>
  <si>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</si>
  <si>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</si>
  <si>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</si>
  <si>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</si>
  <si>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</si>
  <si>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</si>
  <si>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</si>
  <si>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</si>
  <si>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</si>
  <si>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</si>
  <si>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</si>
  <si>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</si>
  <si>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</si>
  <si>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</si>
  <si>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</si>
  <si>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</si>
  <si>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</si>
  <si>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</si>
  <si>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</si>
  <si>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</si>
  <si>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</si>
  <si>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</si>
  <si>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</si>
  <si>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</si>
  <si>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</si>
  <si>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</si>
  <si>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</si>
  <si>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</si>
  <si>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</si>
  <si>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</si>
  <si>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</si>
  <si>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</si>
  <si>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</si>
  <si>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</si>
  <si>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</si>
  <si>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</si>
  <si>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</si>
  <si>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</si>
  <si>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</si>
  <si>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</si>
  <si>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</si>
  <si>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</si>
  <si>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</si>
  <si>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</si>
  <si>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</si>
  <si>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</si>
  <si>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</si>
  <si>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</si>
  <si>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</si>
  <si>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</si>
  <si>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</si>
  <si>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</si>
  <si>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</si>
  <si>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</si>
  <si>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</si>
  <si>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</si>
  <si>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</si>
  <si>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</si>
  <si>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</si>
  <si>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</si>
  <si>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</si>
  <si>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</si>
  <si>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</si>
  <si>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</si>
  <si>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</si>
  <si>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</si>
  <si>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</si>
  <si>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</si>
  <si>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</si>
  <si>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</si>
  <si>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</si>
  <si>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</si>
  <si>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</si>
  <si>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</si>
  <si>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</si>
  <si>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</si>
  <si>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</si>
  <si>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</si>
  <si>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</si>
  <si>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</si>
  <si>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</si>
  <si>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</si>
  <si>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</si>
  <si>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</si>
  <si>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</si>
  <si>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</si>
  <si>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</si>
  <si>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</si>
  <si>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</si>
  <si>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</si>
  <si>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</si>
  <si>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</si>
  <si>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</si>
  <si>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</si>
  <si>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</si>
  <si>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</si>
  <si>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</si>
  <si>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</si>
  <si>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</si>
  <si>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</si>
  <si>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</si>
  <si>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</si>
  <si>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</si>
  <si>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</si>
  <si>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</si>
  <si>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</si>
  <si>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</si>
  <si>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</si>
  <si>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</si>
  <si>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</si>
  <si>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</si>
  <si>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</si>
  <si>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</si>
  <si>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</si>
  <si>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</si>
  <si>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</si>
  <si>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</si>
  <si>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</si>
  <si>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</si>
  <si>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</si>
  <si>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</si>
  <si>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</si>
  <si>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</si>
  <si>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</si>
  <si>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</si>
  <si>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</si>
  <si>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</si>
  <si>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</si>
  <si>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</si>
  <si>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</si>
  <si>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</si>
  <si>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</si>
  <si>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</si>
  <si>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</si>
  <si>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</si>
  <si>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</si>
  <si>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</si>
  <si>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</si>
  <si>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</si>
  <si>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</si>
  <si>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</si>
  <si>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</si>
  <si>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</si>
  <si>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</si>
  <si>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</si>
  <si>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</si>
  <si>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</si>
  <si>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</si>
  <si>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</si>
  <si>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</si>
  <si>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</si>
  <si>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</si>
  <si>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</si>
  <si>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</si>
  <si>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</si>
  <si>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</si>
  <si>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</si>
  <si>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</si>
  <si>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</si>
  <si>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</si>
  <si>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</si>
  <si>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</si>
  <si>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</si>
  <si>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</si>
  <si>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</si>
  <si>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</si>
  <si>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</si>
  <si>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</si>
  <si>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</si>
  <si>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</si>
  <si>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</si>
  <si>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</si>
  <si>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</si>
  <si>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</si>
  <si>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</si>
  <si>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</si>
  <si>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</si>
  <si>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</si>
  <si>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</si>
  <si>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</si>
  <si>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</si>
  <si>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</si>
  <si>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</si>
  <si>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</si>
  <si>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</si>
  <si>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</si>
  <si>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</si>
  <si>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</si>
  <si>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</si>
  <si>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</si>
  <si>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</si>
  <si>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</si>
  <si>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</si>
  <si>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</si>
  <si>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</si>
  <si>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</si>
  <si>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</si>
  <si>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</si>
  <si>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</si>
  <si>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</si>
  <si>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</si>
  <si>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</si>
  <si>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</si>
  <si>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</si>
  <si>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</si>
  <si>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</si>
  <si>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</si>
  <si>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</si>
  <si>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</si>
  <si>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</si>
  <si>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</si>
  <si>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</si>
  <si>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</si>
  <si>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</si>
  <si>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</si>
  <si>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</si>
  <si>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</si>
  <si>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</si>
  <si>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</si>
  <si>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</si>
  <si>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</si>
  <si>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</si>
  <si>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</si>
  <si>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</si>
  <si>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</si>
  <si>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</si>
  <si>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</si>
  <si>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</si>
  <si>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</si>
  <si>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</si>
  <si>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</si>
  <si>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</si>
  <si>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</si>
  <si>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</si>
  <si>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</si>
  <si>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</si>
  <si>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</si>
  <si>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</si>
  <si>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</si>
  <si>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</si>
  <si>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</si>
  <si>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</si>
  <si>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</si>
  <si>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</si>
  <si>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</si>
  <si>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</si>
  <si>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</si>
  <si>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</si>
  <si>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</si>
  <si>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</si>
  <si>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</si>
  <si>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</si>
  <si>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</si>
  <si>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</si>
  <si>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</si>
  <si>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</si>
  <si>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</si>
  <si>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</si>
  <si>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</si>
  <si>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</si>
  <si>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</si>
  <si>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</si>
  <si>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</si>
  <si>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</si>
  <si>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</si>
  <si>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</si>
  <si>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</si>
  <si>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</si>
  <si>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</si>
  <si>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</si>
  <si>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</si>
  <si>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</si>
  <si>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</si>
  <si>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</si>
  <si>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</si>
  <si>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</si>
  <si>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</si>
  <si>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</si>
  <si>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</si>
  <si>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</si>
  <si>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</si>
  <si>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</si>
  <si>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</si>
  <si>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</si>
  <si>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</si>
  <si>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</si>
  <si>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</si>
  <si>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</si>
  <si>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</si>
  <si>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</si>
  <si>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</si>
  <si>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</si>
  <si>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</si>
  <si>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</si>
  <si>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</si>
  <si>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</si>
  <si>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</si>
  <si>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</si>
  <si>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</si>
  <si>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</si>
  <si>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</si>
  <si>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</si>
  <si>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</si>
  <si>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</si>
  <si>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</si>
  <si>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</si>
  <si>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</si>
  <si>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</si>
  <si>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</si>
  <si>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</si>
  <si>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</si>
  <si>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</si>
  <si>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</si>
  <si>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</si>
  <si>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</si>
  <si>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</si>
  <si>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</si>
  <si>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</si>
  <si>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</si>
  <si>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</si>
  <si>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</si>
  <si>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</si>
  <si>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</si>
  <si>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</si>
  <si>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</si>
  <si>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</si>
  <si>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</si>
  <si>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</si>
  <si>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</si>
  <si>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</si>
  <si>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</si>
  <si>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</si>
  <si>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</si>
  <si>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</si>
  <si>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</si>
  <si>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</si>
  <si>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</si>
  <si>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</si>
  <si>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</si>
  <si>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</si>
  <si>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</si>
  <si>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</si>
  <si>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</si>
  <si>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</si>
  <si>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</si>
  <si>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</si>
  <si>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</si>
  <si>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</si>
  <si>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</si>
  <si>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</si>
  <si>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</si>
  <si>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</si>
  <si>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</si>
  <si>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</si>
  <si>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</si>
  <si>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</si>
  <si>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</si>
  <si>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</si>
  <si>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</si>
  <si>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</si>
  <si>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</si>
  <si>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</si>
  <si>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</si>
  <si>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</si>
  <si>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</si>
  <si>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</si>
  <si>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</si>
  <si>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</si>
  <si>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</si>
  <si>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</si>
  <si>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</si>
  <si>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</si>
  <si>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</si>
  <si>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</si>
  <si>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</si>
  <si>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</si>
  <si>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</si>
  <si>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</si>
  <si>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</si>
  <si>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</si>
  <si>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</si>
  <si>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</si>
  <si>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</si>
  <si>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</si>
  <si>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</si>
  <si>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</si>
  <si>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</si>
  <si>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</si>
  <si>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</si>
  <si>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</si>
  <si>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</si>
  <si>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</si>
  <si>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</si>
  <si>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</si>
  <si>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</si>
  <si>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</si>
  <si>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</si>
  <si>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</si>
  <si>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</si>
  <si>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</si>
  <si>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</si>
  <si>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</si>
  <si>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</si>
  <si>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</si>
  <si>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</si>
  <si>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</si>
  <si>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</si>
  <si>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</si>
  <si>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</si>
  <si>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</si>
  <si>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</si>
  <si>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</si>
  <si>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</si>
  <si>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</si>
  <si>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</si>
  <si>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</si>
  <si>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</si>
  <si>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</si>
  <si>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</si>
  <si>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</si>
  <si>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</si>
  <si>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</si>
  <si>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</si>
  <si>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</si>
  <si>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</si>
  <si>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</si>
  <si>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</si>
  <si>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</si>
  <si>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</si>
  <si>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</si>
  <si>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</si>
  <si>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</si>
  <si>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</si>
  <si>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</si>
  <si>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</si>
  <si>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</si>
  <si>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</si>
  <si>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</si>
  <si>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</si>
  <si>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</si>
  <si>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</si>
  <si>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</si>
  <si>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</si>
  <si>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</si>
  <si>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</si>
  <si>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</si>
  <si>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</si>
  <si>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</si>
  <si>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</si>
  <si>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</si>
  <si>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</si>
  <si>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</si>
  <si>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</si>
  <si>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</si>
  <si>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</si>
  <si>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</si>
  <si>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</si>
  <si>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</si>
  <si>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</si>
  <si>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</si>
  <si>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</si>
  <si>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</si>
  <si>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</si>
  <si>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</si>
  <si>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</si>
  <si>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</si>
  <si>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</si>
  <si>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</si>
  <si>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</si>
  <si>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</si>
  <si>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</si>
  <si>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</si>
  <si>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</si>
  <si>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</si>
  <si>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</si>
  <si>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</si>
  <si>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</si>
  <si>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</si>
  <si>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</si>
  <si>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</si>
  <si>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</si>
  <si>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</si>
  <si>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</si>
  <si>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</si>
  <si>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</si>
  <si>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</si>
  <si>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</si>
  <si>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</si>
  <si>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</si>
  <si>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</si>
  <si>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</si>
  <si>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</si>
  <si>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</si>
  <si>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</si>
  <si>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</si>
  <si>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</si>
  <si>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</si>
  <si>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</si>
  <si>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</si>
  <si>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</si>
  <si>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</si>
  <si>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</si>
  <si>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</si>
  <si>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</si>
  <si>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</si>
  <si>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</si>
  <si>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</si>
  <si>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</si>
  <si>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</si>
  <si>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</si>
  <si>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</si>
  <si>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</si>
  <si>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</si>
  <si>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</si>
  <si>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</si>
  <si>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</si>
  <si>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</si>
  <si>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</si>
  <si>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</si>
  <si>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</si>
  <si>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</si>
  <si>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</si>
  <si>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</si>
  <si>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</si>
  <si>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</si>
  <si>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</si>
  <si>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</si>
  <si>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</si>
  <si>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</si>
  <si>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</si>
  <si>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</si>
  <si>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</si>
  <si>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</si>
  <si>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</si>
  <si>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</si>
  <si>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</si>
  <si>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</si>
  <si>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</si>
  <si>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</si>
  <si>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</si>
  <si>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</si>
  <si>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</si>
  <si>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</si>
  <si>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</si>
  <si>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</si>
  <si>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</si>
  <si>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</si>
  <si>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</si>
  <si>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</si>
  <si>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</si>
  <si>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</si>
  <si>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</si>
  <si>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</si>
  <si>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</si>
  <si>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</si>
  <si>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</si>
  <si>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</si>
  <si>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</si>
  <si>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</si>
  <si>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</si>
  <si>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</si>
  <si>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</si>
  <si>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</si>
  <si>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</si>
  <si>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</si>
  <si>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</si>
  <si>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</si>
  <si>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</si>
  <si>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</si>
  <si>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</si>
  <si>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</si>
  <si>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</si>
  <si>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</si>
  <si>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</si>
  <si>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</si>
  <si>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</si>
  <si>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</si>
  <si>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</si>
  <si>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</si>
  <si>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</si>
  <si>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</si>
  <si>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</si>
  <si>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</si>
  <si>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</si>
  <si>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</si>
  <si>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</si>
  <si>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</si>
  <si>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</si>
  <si>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</si>
  <si>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</si>
  <si>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</si>
  <si>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</si>
  <si>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</si>
  <si>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</si>
  <si>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</si>
  <si>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</si>
  <si>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</si>
  <si>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</si>
  <si>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</si>
  <si>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</si>
  <si>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</si>
  <si>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</si>
  <si>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</si>
  <si>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</si>
  <si>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</si>
  <si>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</si>
  <si>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</si>
  <si>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</si>
  <si>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</si>
  <si>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</si>
  <si>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</si>
  <si>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</si>
  <si>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</si>
  <si>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</si>
  <si>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</si>
  <si>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</si>
  <si>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</si>
  <si>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</si>
  <si>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</si>
  <si>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</si>
  <si>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</si>
  <si>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</si>
  <si>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</si>
  <si>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</si>
  <si>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</si>
  <si>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</si>
  <si>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</si>
  <si>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</si>
  <si>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</si>
  <si>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</si>
  <si>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</si>
  <si>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</si>
  <si>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</si>
  <si>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</si>
  <si>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</si>
  <si>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</si>
  <si>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</si>
  <si>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</si>
  <si>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</si>
  <si>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</si>
  <si>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</si>
  <si>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</si>
  <si>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</si>
  <si>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</si>
  <si>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</si>
  <si>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</si>
  <si>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</si>
  <si>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</si>
  <si>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</si>
  <si>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</si>
  <si>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</si>
  <si>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</si>
  <si>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</si>
  <si>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</si>
  <si>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</si>
  <si>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</si>
  <si>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</si>
  <si>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</si>
  <si>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</si>
  <si>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</si>
  <si>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</si>
  <si>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</si>
  <si>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</si>
  <si>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</si>
  <si>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</si>
  <si>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</si>
  <si>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</si>
  <si>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</si>
  <si>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</si>
  <si>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</si>
  <si>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</si>
  <si>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</si>
  <si>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</si>
  <si>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</si>
  <si>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</si>
  <si>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</si>
  <si>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</si>
  <si>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</si>
  <si>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</si>
  <si>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</si>
  <si>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</si>
  <si>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</si>
  <si>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</si>
  <si>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</si>
  <si>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</si>
  <si>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</si>
  <si>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</si>
  <si>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</si>
  <si>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</si>
  <si>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</si>
  <si>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</si>
  <si>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</si>
  <si>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</si>
  <si>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</si>
  <si>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</si>
  <si>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</si>
  <si>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</si>
  <si>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</si>
  <si>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</si>
  <si>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</si>
  <si>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</si>
  <si>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</si>
  <si>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</si>
  <si>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</si>
  <si>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</si>
  <si>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</si>
  <si>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</si>
  <si>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</si>
  <si>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</si>
  <si>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</si>
  <si>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</si>
  <si>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</si>
  <si>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</si>
  <si>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</si>
  <si>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</si>
  <si>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</si>
  <si>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</si>
  <si>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</si>
  <si>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</si>
  <si>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</si>
  <si>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</si>
  <si>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</si>
  <si>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</si>
  <si>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</si>
  <si>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</si>
  <si>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</si>
  <si>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</si>
  <si>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</si>
  <si>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</si>
  <si>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</si>
  <si>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</si>
  <si>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</si>
  <si>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</si>
  <si>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</si>
  <si>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</si>
  <si>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</si>
  <si>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</si>
  <si>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</si>
  <si>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</si>
  <si>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</si>
  <si>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</si>
  <si>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</si>
  <si>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</si>
  <si>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</si>
  <si>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</si>
  <si>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</si>
  <si>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</si>
  <si>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</si>
  <si>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</si>
  <si>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</si>
  <si>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</si>
  <si>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</si>
  <si>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</si>
  <si>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</si>
  <si>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</si>
  <si>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</si>
  <si>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</si>
  <si>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</si>
  <si>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</si>
  <si>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</si>
  <si>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</si>
  <si>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</si>
  <si>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</si>
  <si>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</si>
  <si>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</si>
  <si>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</si>
  <si>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</si>
  <si>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</si>
  <si>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</si>
  <si>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</si>
  <si>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</si>
  <si>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</si>
  <si>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</si>
  <si>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</si>
  <si>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</si>
  <si>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</si>
  <si>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</si>
  <si>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</si>
  <si>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</si>
  <si>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</si>
  <si>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</si>
  <si>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</si>
  <si>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</si>
  <si>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</si>
  <si>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</si>
  <si>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</si>
  <si>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</si>
  <si>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</si>
  <si>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</si>
  <si>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</si>
  <si>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</si>
  <si>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</si>
  <si>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</si>
  <si>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</si>
  <si>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</si>
  <si>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</si>
  <si>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</si>
  <si>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</si>
  <si>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</si>
  <si>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</si>
  <si>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</si>
  <si>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</si>
  <si>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</si>
  <si>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</si>
  <si>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</si>
  <si>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</si>
  <si>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</si>
  <si>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</si>
  <si>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</si>
  <si>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</si>
  <si>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</si>
  <si>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</si>
  <si>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</si>
  <si>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</si>
  <si>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</si>
  <si>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</si>
  <si>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</si>
  <si>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</si>
  <si>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</si>
  <si>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</si>
  <si>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</si>
  <si>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</si>
  <si>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</si>
  <si>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</si>
  <si>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</si>
  <si>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</si>
  <si>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</si>
  <si>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</si>
  <si>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</si>
  <si>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</si>
  <si>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</si>
  <si>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</si>
  <si>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</si>
  <si>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</si>
  <si>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</si>
  <si>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</si>
  <si>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</si>
  <si>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</si>
  <si>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</si>
  <si>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</si>
  <si>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</si>
  <si>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</si>
  <si>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</si>
  <si>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</si>
  <si>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</si>
  <si>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</si>
  <si>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</si>
  <si>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</si>
  <si>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</si>
  <si>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</si>
  <si>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</si>
  <si>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</si>
  <si>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</si>
  <si>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</si>
  <si>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</si>
  <si>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</si>
  <si>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</si>
  <si>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</si>
  <si>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</si>
  <si>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</si>
  <si>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</si>
  <si>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</si>
  <si>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</si>
  <si>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</si>
  <si>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</si>
  <si>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</si>
  <si>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</si>
  <si>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</si>
  <si>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</si>
  <si>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</si>
  <si>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</si>
  <si>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</si>
  <si>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</si>
  <si>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</si>
  <si>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</si>
  <si>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</si>
  <si>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</si>
  <si>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</si>
  <si>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</si>
  <si>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</si>
  <si>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</si>
  <si>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</si>
  <si>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</si>
  <si>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</si>
  <si>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</si>
  <si>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</si>
  <si>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</si>
  <si>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</si>
  <si>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</si>
  <si>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</si>
  <si>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</si>
  <si>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</si>
  <si>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</si>
  <si>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</si>
  <si>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</si>
  <si>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</si>
  <si>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</si>
  <si>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</si>
  <si>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</si>
  <si>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</si>
  <si>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</si>
  <si>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</si>
  <si>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</si>
  <si>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</si>
  <si>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</si>
  <si>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</si>
  <si>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</si>
  <si>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</si>
  <si>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</si>
  <si>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</si>
  <si>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</si>
  <si>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</si>
  <si>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</si>
  <si>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</si>
  <si>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</si>
  <si>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</si>
  <si>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</si>
  <si>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</si>
  <si>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</si>
  <si>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</si>
  <si>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</si>
  <si>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</si>
  <si>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</si>
  <si>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</si>
  <si>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</si>
  <si>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</si>
  <si>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</si>
  <si>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</si>
  <si>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</si>
  <si>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</si>
  <si>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</si>
  <si>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</si>
  <si>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</si>
  <si>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</si>
  <si>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</si>
  <si>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</si>
  <si>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</si>
  <si>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</si>
  <si>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</si>
  <si>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</si>
  <si>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</si>
  <si>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</si>
  <si>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</si>
  <si>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</si>
  <si>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</si>
  <si>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</si>
  <si>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</si>
  <si>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</si>
  <si>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</si>
  <si>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</si>
  <si>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</si>
  <si>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</si>
  <si>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</si>
  <si>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</si>
  <si>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</si>
  <si>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</si>
  <si>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</si>
  <si>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</si>
  <si>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</si>
  <si>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</si>
  <si>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</si>
  <si>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</si>
  <si>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</si>
  <si>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</si>
  <si>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</si>
  <si>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</si>
  <si>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</si>
  <si>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</si>
  <si>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</si>
  <si>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</si>
  <si>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</si>
  <si>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</si>
  <si>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</si>
  <si>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</si>
  <si>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</si>
  <si>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</si>
  <si>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</si>
  <si>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</si>
  <si>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</si>
  <si>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</si>
  <si>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</si>
  <si>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</si>
  <si>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</si>
  <si>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</si>
  <si>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</si>
  <si>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</si>
  <si>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</si>
  <si>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</si>
  <si>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</si>
  <si>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</si>
  <si>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</si>
  <si>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</si>
  <si>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</si>
  <si>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</si>
  <si>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</si>
  <si>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</si>
  <si>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</si>
  <si>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</si>
  <si>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</si>
  <si>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</si>
  <si>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</si>
  <si>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</si>
  <si>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</si>
  <si>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</si>
  <si>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</si>
  <si>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</si>
  <si>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</si>
  <si>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</si>
  <si>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</si>
  <si>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</si>
  <si>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</si>
  <si>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</si>
  <si>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</si>
  <si>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</si>
  <si>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</si>
  <si>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</si>
  <si>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</si>
  <si>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</si>
  <si>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</si>
  <si>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</si>
  <si>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</si>
  <si>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</si>
  <si>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</si>
  <si>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</si>
  <si>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</si>
  <si>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</si>
  <si>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</si>
  <si>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</si>
  <si>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</si>
  <si>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</si>
  <si>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</si>
  <si>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</si>
  <si>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</si>
  <si>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</si>
  <si>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</si>
  <si>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</si>
  <si>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</si>
  <si>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</si>
  <si>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</si>
  <si>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</si>
  <si>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</si>
  <si>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</si>
  <si>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</si>
  <si>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</si>
  <si>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</si>
  <si>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</si>
  <si>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</si>
  <si>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</si>
  <si>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</si>
  <si>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</si>
  <si>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</si>
  <si>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</si>
  <si>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</si>
  <si>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</si>
  <si>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</si>
  <si>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</si>
  <si>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</si>
  <si>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</si>
  <si>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</si>
  <si>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</si>
  <si>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</si>
  <si>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</si>
  <si>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</si>
  <si>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</si>
  <si>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</si>
  <si>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</si>
  <si>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</si>
  <si>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</si>
  <si>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</si>
  <si>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</si>
  <si>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</si>
  <si>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</si>
  <si>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</si>
  <si>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</si>
  <si>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</si>
  <si>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</si>
  <si>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</si>
  <si>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</si>
  <si>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</si>
  <si>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</si>
  <si>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</si>
  <si>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</si>
  <si>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</si>
  <si>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</si>
  <si>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</si>
  <si>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</si>
  <si>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</si>
  <si>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</si>
  <si>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</si>
  <si>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</si>
  <si>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</si>
  <si>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</si>
  <si>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</si>
  <si>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</si>
  <si>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</si>
  <si>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</si>
  <si>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</si>
  <si>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</si>
  <si>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</si>
  <si>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</si>
  <si>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</si>
  <si>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</si>
  <si>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</si>
  <si>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</si>
  <si>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</si>
  <si>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</si>
  <si>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</si>
  <si>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</si>
  <si>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</si>
  <si>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</si>
  <si>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</si>
  <si>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</si>
  <si>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</si>
  <si>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</si>
  <si>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</si>
  <si>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</si>
  <si>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</si>
  <si>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</si>
  <si>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</si>
  <si>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</si>
  <si>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</si>
  <si>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</si>
  <si>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</si>
  <si>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</si>
  <si>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</si>
  <si>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</si>
  <si>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</si>
  <si>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</si>
  <si>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</si>
  <si>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</si>
  <si>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</si>
  <si>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</si>
  <si>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</si>
  <si>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</si>
  <si>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</si>
  <si>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</si>
  <si>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</si>
  <si>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</si>
  <si>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</si>
  <si>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</si>
  <si>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</si>
  <si>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</si>
  <si>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</si>
  <si>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</si>
  <si>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</si>
  <si>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</si>
  <si>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</si>
  <si>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</si>
  <si>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</si>
  <si>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</si>
  <si>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</si>
  <si>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</si>
  <si>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</si>
  <si>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</si>
  <si>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</si>
  <si>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</si>
  <si>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</si>
  <si>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</si>
  <si>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</si>
  <si>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</si>
  <si>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</si>
  <si>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</si>
  <si>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</si>
  <si>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</si>
  <si>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</si>
  <si>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</si>
  <si>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</si>
  <si>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</si>
  <si>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</si>
  <si>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</si>
  <si>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</si>
  <si>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</si>
  <si>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</si>
  <si>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</si>
  <si>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</si>
  <si>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</si>
  <si>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</si>
  <si>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</si>
  <si>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</si>
  <si>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</si>
  <si>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</si>
  <si>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</si>
  <si>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</si>
  <si>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</si>
  <si>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</si>
  <si>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</si>
  <si>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</si>
  <si>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</si>
  <si>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</si>
  <si>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</si>
  <si>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</si>
  <si>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</si>
  <si>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</si>
  <si>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</si>
  <si>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</si>
  <si>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</si>
  <si>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</si>
  <si>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</si>
  <si>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</si>
  <si>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</si>
  <si>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</si>
  <si>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</si>
  <si>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</si>
  <si>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</si>
  <si>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</si>
  <si>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</si>
  <si>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</si>
  <si>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</si>
  <si>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</si>
  <si>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</si>
  <si>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</si>
  <si>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</si>
  <si>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</si>
  <si>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</si>
  <si>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</si>
  <si>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</si>
  <si>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</si>
  <si>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</si>
  <si>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</si>
  <si>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</si>
  <si>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</si>
  <si>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</si>
  <si>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</si>
  <si>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</si>
  <si>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</si>
  <si>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</si>
  <si>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</si>
  <si>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</si>
  <si>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</si>
  <si>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</si>
  <si>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</si>
  <si>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</si>
  <si>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</si>
  <si>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</si>
  <si>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</si>
  <si>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</si>
  <si>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</si>
  <si>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</si>
  <si>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</si>
  <si>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</si>
  <si>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</si>
  <si>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</si>
  <si>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</si>
  <si>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</si>
  <si>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</si>
  <si>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</si>
  <si>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</si>
  <si>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</si>
  <si>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</si>
  <si>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</si>
  <si>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</si>
  <si>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</si>
  <si>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</si>
  <si>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</si>
  <si>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</si>
  <si>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</si>
  <si>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</si>
  <si>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</si>
  <si>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</si>
  <si>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</si>
  <si>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</si>
  <si>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</si>
  <si>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</si>
  <si>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</si>
  <si>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</si>
  <si>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</si>
  <si>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</si>
  <si>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</si>
  <si>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</si>
  <si>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</si>
  <si>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</si>
  <si>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</si>
  <si>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</si>
  <si>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</si>
  <si>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</si>
  <si>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</si>
  <si>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</si>
  <si>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</si>
  <si>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</si>
  <si>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</si>
  <si>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</si>
  <si>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</si>
  <si>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</si>
  <si>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</si>
  <si>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</si>
  <si>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</si>
  <si>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</si>
  <si>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</si>
  <si>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</si>
  <si>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</si>
  <si>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</si>
  <si>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</si>
  <si>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</si>
  <si>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</si>
  <si>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</si>
  <si>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</si>
  <si>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</si>
  <si>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</si>
  <si>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</si>
  <si>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</si>
  <si>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</si>
  <si>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</si>
  <si>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</si>
  <si>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</si>
  <si>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</si>
  <si>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</si>
  <si>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</si>
  <si>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</si>
  <si>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</si>
  <si>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</si>
  <si>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</si>
  <si>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</si>
  <si>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</si>
  <si>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</si>
  <si>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</si>
  <si>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</si>
  <si>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</si>
  <si>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</si>
  <si>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</si>
  <si>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</si>
  <si>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</si>
  <si>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</si>
  <si>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</si>
  <si>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</si>
  <si>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</si>
  <si>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</si>
  <si>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</si>
  <si>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</si>
  <si>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</si>
  <si>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</si>
  <si>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</si>
  <si>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</si>
  <si>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</si>
  <si>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</si>
  <si>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</si>
  <si>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</si>
  <si>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</si>
  <si>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</si>
  <si>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</si>
  <si>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</si>
  <si>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</si>
  <si>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</si>
  <si>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</si>
  <si>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</si>
  <si>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</si>
  <si>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</si>
  <si>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</si>
  <si>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</si>
  <si>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</si>
  <si>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</si>
  <si>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</si>
  <si>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</si>
  <si>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</si>
  <si>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</si>
  <si>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</si>
  <si>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</si>
  <si>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</si>
  <si>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</si>
  <si>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</si>
  <si>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</si>
  <si>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</si>
  <si>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</si>
  <si>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</si>
  <si>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</si>
  <si>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</si>
  <si>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</si>
  <si>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</si>
  <si>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</si>
  <si>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</si>
  <si>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</si>
  <si>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</si>
  <si>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</si>
  <si>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</si>
  <si>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</si>
  <si>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</si>
  <si>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</si>
  <si>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</si>
  <si>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</si>
  <si>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</si>
  <si>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</si>
  <si>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</si>
  <si>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</si>
  <si>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</si>
  <si>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</si>
  <si>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</si>
  <si>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</si>
  <si>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</si>
  <si>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</si>
  <si>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</si>
  <si>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</si>
  <si>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</si>
  <si>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</si>
  <si>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</si>
  <si>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</si>
  <si>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</si>
  <si>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</si>
  <si>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</si>
  <si>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</si>
  <si>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</si>
  <si>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</si>
  <si>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</si>
  <si>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</si>
  <si>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</si>
  <si>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</si>
  <si>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</si>
  <si>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</si>
  <si>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</si>
  <si>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</si>
  <si>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</si>
  <si>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</si>
  <si>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</si>
  <si>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</si>
  <si>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</si>
  <si>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</si>
  <si>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</si>
  <si>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</si>
  <si>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</si>
  <si>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</si>
  <si>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</si>
  <si>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</si>
  <si>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</si>
  <si>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</si>
  <si>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</si>
  <si>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</si>
  <si>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</si>
  <si>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</si>
  <si>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</si>
  <si>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</si>
  <si>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</si>
  <si>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</si>
  <si>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</si>
  <si>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</si>
  <si>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</si>
  <si>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</si>
  <si>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</si>
  <si>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</si>
  <si>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</si>
  <si>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</si>
  <si>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</si>
  <si>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</si>
  <si>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</si>
  <si>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</si>
  <si>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</si>
  <si>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</si>
  <si>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</si>
  <si>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</si>
  <si>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</si>
  <si>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</si>
  <si>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</si>
  <si>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</si>
  <si>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</si>
  <si>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</si>
  <si>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</si>
  <si>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</si>
  <si>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</si>
  <si>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</si>
  <si>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</si>
  <si>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</si>
  <si>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</si>
  <si>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</si>
  <si>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</si>
  <si>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</si>
  <si>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</si>
  <si>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</si>
  <si>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</si>
  <si>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</si>
  <si>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</si>
  <si>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</si>
  <si>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</si>
  <si>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</si>
  <si>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</si>
  <si>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</si>
  <si>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</si>
  <si>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</si>
  <si>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</si>
  <si>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</si>
  <si>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</si>
  <si>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</si>
  <si>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</si>
  <si>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</si>
  <si>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</si>
  <si>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</si>
  <si>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</si>
  <si>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</si>
  <si>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</si>
  <si>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</si>
  <si>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</si>
  <si>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</si>
  <si>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</si>
  <si>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</si>
  <si>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</si>
  <si>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</si>
  <si>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</si>
  <si>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</si>
  <si>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</si>
  <si>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</si>
  <si>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</si>
  <si>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</si>
  <si>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</si>
  <si>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</si>
  <si>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</si>
  <si>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</si>
  <si>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</si>
  <si>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</si>
  <si>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</si>
  <si>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</si>
  <si>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</si>
  <si>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</si>
  <si>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</si>
  <si>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</si>
  <si>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</si>
  <si>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</si>
  <si>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</si>
  <si>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</si>
  <si>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</si>
  <si>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</si>
  <si>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</si>
  <si>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</si>
  <si>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</si>
  <si>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</si>
  <si>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</si>
  <si>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</si>
  <si>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</si>
  <si>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</si>
  <si>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</si>
  <si>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</si>
  <si>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</si>
  <si>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</si>
  <si>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</si>
  <si>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</si>
  <si>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</si>
  <si>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</si>
  <si>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</si>
  <si>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</si>
  <si>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</si>
  <si>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</si>
  <si>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</si>
  <si>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</si>
  <si>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</si>
  <si>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</si>
  <si>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</si>
  <si>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</si>
  <si>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</si>
  <si>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</si>
  <si>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</si>
  <si>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</si>
  <si>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</si>
  <si>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</si>
  <si>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</si>
  <si>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</si>
  <si>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</si>
  <si>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</si>
  <si>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</si>
  <si>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</si>
  <si>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</si>
  <si>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</si>
  <si>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</si>
  <si>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</si>
  <si>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</si>
  <si>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</si>
  <si>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</si>
  <si>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</si>
  <si>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</si>
  <si>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</si>
  <si>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</si>
  <si>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</si>
  <si>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</si>
  <si>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</si>
  <si>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</si>
  <si>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</si>
  <si>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</si>
  <si>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</si>
  <si>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</si>
  <si>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</si>
  <si>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</si>
  <si>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</si>
  <si>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</si>
  <si>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</si>
  <si>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</si>
  <si>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</si>
  <si>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</si>
  <si>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</si>
  <si>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</si>
  <si>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</si>
  <si>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</si>
  <si>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</si>
  <si>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</si>
  <si>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</si>
  <si>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</si>
  <si>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</si>
  <si>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</si>
  <si>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</si>
  <si>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</si>
  <si>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</si>
  <si>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</si>
  <si>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</si>
  <si>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</si>
  <si>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</si>
  <si>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</si>
  <si>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</si>
  <si>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</si>
  <si>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</si>
  <si>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</si>
  <si>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</si>
  <si>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</si>
  <si>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</si>
  <si>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</si>
  <si>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</si>
  <si>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</si>
  <si>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</si>
  <si>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</si>
  <si>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</si>
  <si>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</si>
  <si>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</si>
  <si>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</si>
  <si>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</si>
  <si>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</si>
  <si>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</si>
  <si>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</si>
  <si>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</si>
  <si>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</si>
  <si>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</si>
  <si>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</si>
  <si>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</si>
  <si>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</si>
  <si>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</si>
  <si>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</si>
  <si>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</si>
  <si>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</si>
  <si>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</si>
  <si>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</si>
  <si>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</si>
  <si>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</si>
  <si>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</si>
  <si>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</si>
  <si>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</si>
  <si>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</si>
  <si>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</si>
  <si>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</si>
  <si>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</si>
  <si>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</si>
  <si>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</si>
  <si>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</si>
  <si>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</si>
  <si>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</si>
  <si>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</si>
  <si>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</si>
  <si>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</si>
  <si>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</si>
  <si>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</si>
  <si>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</si>
  <si>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</si>
  <si>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</si>
  <si>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</si>
  <si>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</si>
  <si>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</si>
  <si>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</si>
  <si>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</si>
  <si>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</si>
  <si>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</si>
  <si>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</si>
  <si>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</si>
  <si>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</si>
  <si>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</si>
  <si>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</si>
  <si>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</si>
  <si>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</si>
  <si>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</si>
  <si>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</si>
  <si>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</si>
  <si>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</si>
  <si>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</si>
  <si>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</si>
  <si>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</si>
  <si>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</si>
  <si>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</si>
  <si>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</si>
  <si>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</si>
  <si>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</si>
  <si>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</si>
  <si>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</si>
  <si>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</si>
  <si>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</si>
  <si>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</si>
  <si>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</si>
  <si>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</si>
  <si>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</si>
  <si>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</si>
  <si>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</si>
  <si>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</si>
  <si>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</si>
  <si>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</si>
  <si>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</si>
  <si>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</si>
  <si>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</si>
  <si>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</si>
  <si>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</si>
  <si>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</si>
  <si>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</si>
  <si>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</si>
  <si>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</si>
  <si>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</si>
  <si>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</si>
  <si>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</si>
  <si>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</si>
  <si>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</si>
  <si>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</si>
  <si>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</si>
  <si>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</si>
  <si>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</si>
  <si>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</si>
  <si>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</si>
  <si>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</si>
  <si>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</si>
  <si>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</si>
  <si>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</si>
  <si>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</si>
  <si>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</si>
  <si>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</si>
  <si>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</si>
  <si>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</si>
  <si>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</si>
  <si>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</si>
  <si>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</si>
  <si>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</si>
  <si>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</si>
  <si>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</si>
  <si>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</si>
  <si>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</si>
  <si>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</si>
  <si>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</si>
  <si>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</si>
  <si>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</si>
  <si>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</si>
  <si>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</si>
  <si>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</si>
  <si>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</si>
  <si>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</si>
  <si>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</si>
  <si>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</si>
  <si>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</si>
  <si>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</si>
  <si>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</si>
  <si>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</si>
  <si>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</si>
  <si>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</si>
  <si>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</si>
  <si>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</si>
  <si>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</si>
  <si>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</si>
  <si>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</si>
  <si>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</si>
  <si>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</si>
  <si>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</si>
  <si>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</si>
  <si>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</si>
  <si>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</si>
  <si>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</si>
  <si>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</si>
  <si>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</si>
  <si>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</si>
  <si>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</si>
  <si>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</si>
  <si>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</si>
  <si>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</si>
  <si>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</si>
  <si>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</si>
  <si>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</si>
  <si>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</si>
  <si>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</si>
  <si>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</si>
  <si>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</si>
  <si>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</si>
  <si>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</si>
  <si>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</si>
  <si>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</si>
  <si>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</si>
  <si>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</si>
  <si>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</si>
  <si>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</si>
  <si>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</si>
  <si>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</si>
  <si>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</si>
  <si>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</si>
  <si>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</si>
  <si>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</si>
  <si>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</si>
  <si>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</si>
  <si>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</si>
  <si>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</si>
  <si>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</si>
  <si>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</si>
  <si>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</si>
  <si>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</si>
  <si>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</si>
  <si>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</si>
  <si>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</si>
  <si>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</si>
  <si>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</si>
  <si>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</si>
  <si>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</si>
  <si>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</si>
  <si>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</si>
  <si>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</si>
  <si>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</si>
  <si>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</si>
  <si>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</si>
  <si>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</si>
  <si>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</si>
  <si>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</si>
  <si>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</si>
  <si>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</si>
  <si>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</si>
  <si>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</si>
  <si>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</si>
  <si>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</si>
  <si>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</si>
  <si>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</si>
  <si>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</si>
  <si>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</si>
  <si>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</si>
  <si>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</si>
  <si>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</si>
  <si>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</si>
  <si>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</si>
  <si>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</si>
  <si>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</si>
  <si>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</si>
  <si>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</si>
  <si>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</si>
  <si>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</si>
  <si>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</si>
  <si>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</si>
  <si>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</si>
  <si>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</si>
  <si>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</si>
  <si>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</si>
  <si>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</si>
  <si>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</si>
  <si>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</si>
  <si>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</si>
  <si>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</si>
  <si>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</si>
  <si>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</si>
  <si>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</si>
  <si>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</si>
  <si>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</si>
  <si>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</si>
  <si>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</si>
  <si>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</si>
  <si>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</si>
  <si>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</si>
  <si>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</si>
  <si>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</si>
  <si>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</si>
  <si>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</si>
  <si>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</si>
  <si>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</si>
  <si>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</si>
  <si>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</si>
  <si>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</si>
  <si>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</si>
  <si>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</si>
  <si>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</si>
  <si>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</si>
  <si>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</si>
  <si>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</si>
  <si>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</si>
  <si>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</si>
  <si>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</si>
  <si>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</si>
  <si>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</si>
  <si>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</si>
  <si>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</si>
  <si>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</si>
  <si>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</si>
  <si>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</si>
  <si>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</si>
  <si>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</si>
  <si>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</si>
  <si>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</si>
  <si>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</si>
  <si>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</si>
  <si>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</si>
  <si>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</si>
  <si>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</si>
  <si>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</si>
  <si>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</si>
  <si>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</si>
  <si>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</si>
  <si>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</si>
  <si>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</si>
  <si>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</si>
  <si>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</si>
  <si>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</si>
  <si>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</si>
  <si>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</si>
  <si>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</si>
  <si>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</si>
  <si>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</si>
  <si>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</si>
  <si>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</si>
  <si>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</si>
  <si>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</si>
  <si>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</si>
  <si>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</si>
  <si>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</si>
  <si>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</si>
  <si>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</si>
  <si>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</si>
  <si>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</si>
  <si>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</si>
  <si>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</si>
  <si>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</si>
  <si>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</si>
  <si>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</si>
  <si>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</si>
  <si>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</si>
  <si>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</si>
  <si>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</si>
  <si>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</si>
  <si>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</si>
  <si>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</si>
  <si>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</si>
  <si>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</si>
  <si>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</si>
  <si>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</si>
  <si>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</si>
  <si>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</si>
  <si>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</si>
  <si>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</si>
  <si>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</si>
  <si>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</si>
  <si>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</si>
  <si>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</si>
  <si>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</si>
  <si>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</si>
  <si>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</si>
  <si>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</si>
  <si>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</si>
  <si>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</si>
  <si>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</si>
  <si>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</si>
  <si>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</si>
  <si>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</si>
  <si>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</si>
  <si>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</si>
  <si>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</si>
  <si>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</si>
  <si>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</si>
  <si>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</si>
  <si>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</si>
  <si>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</si>
  <si>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</si>
  <si>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</si>
  <si>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</si>
  <si>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</si>
  <si>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</si>
  <si>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</si>
  <si>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</si>
  <si>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</si>
  <si>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</si>
  <si>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</si>
  <si>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</si>
  <si>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</si>
  <si>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</si>
  <si>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</si>
  <si>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</si>
  <si>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</si>
  <si>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</si>
  <si>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</si>
  <si>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</si>
  <si>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</si>
  <si>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</si>
  <si>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</si>
  <si>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</si>
  <si>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</si>
  <si>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</si>
  <si>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</si>
  <si>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</si>
  <si>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</si>
  <si>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</si>
  <si>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</si>
  <si>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</si>
  <si>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</si>
  <si>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</si>
  <si>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</si>
  <si>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</si>
  <si>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</si>
  <si>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</si>
  <si>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</si>
  <si>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</si>
  <si>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</si>
  <si>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</si>
  <si>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</si>
  <si>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</si>
  <si>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</si>
  <si>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</si>
  <si>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</si>
  <si>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</si>
  <si>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</si>
  <si>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</si>
  <si>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</si>
  <si>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</si>
  <si>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</si>
  <si>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</si>
  <si>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</si>
  <si>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</si>
  <si>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</si>
  <si>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</si>
  <si>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</si>
  <si>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</si>
  <si>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</si>
  <si>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</si>
  <si>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</si>
  <si>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</si>
  <si>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</si>
  <si>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</si>
  <si>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</si>
  <si>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</si>
  <si>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</si>
  <si>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</si>
  <si>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</si>
  <si>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</si>
  <si>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</si>
  <si>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</si>
  <si>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</si>
  <si>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</si>
  <si>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</si>
  <si>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</si>
  <si>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</si>
  <si>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</si>
  <si>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</si>
  <si>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</si>
  <si>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</si>
  <si>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</si>
  <si>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</si>
  <si>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</si>
  <si>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</si>
  <si>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</si>
  <si>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</si>
  <si>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</si>
  <si>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</si>
  <si>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</si>
  <si>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</si>
  <si>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</si>
  <si>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</si>
  <si>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</si>
  <si>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</si>
  <si>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</si>
  <si>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</si>
  <si>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</si>
  <si>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</si>
  <si>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</si>
  <si>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</si>
  <si>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</si>
  <si>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</si>
  <si>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</si>
  <si>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</si>
  <si>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</si>
  <si>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</si>
  <si>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</si>
  <si>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</si>
  <si>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</si>
  <si>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</si>
  <si>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</si>
  <si>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</si>
  <si>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</si>
  <si>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</si>
  <si>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</si>
  <si>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</si>
  <si>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</si>
  <si>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</si>
  <si>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</si>
  <si>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</si>
  <si>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</si>
  <si>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</si>
  <si>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</si>
  <si>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</si>
  <si>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</si>
  <si>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</si>
  <si>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</si>
  <si>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</si>
  <si>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</si>
  <si>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</si>
  <si>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</si>
  <si>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</si>
  <si>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</si>
  <si>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</si>
  <si>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</si>
  <si>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</si>
  <si>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</si>
  <si>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</si>
  <si>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</si>
  <si>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</si>
  <si>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</si>
  <si>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</si>
  <si>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</si>
  <si>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</si>
  <si>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</si>
  <si>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</si>
  <si>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</si>
  <si>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</si>
  <si>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</si>
  <si>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</si>
  <si>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</si>
  <si>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</si>
  <si>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</si>
  <si>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</si>
  <si>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</si>
  <si>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</si>
  <si>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</si>
  <si>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</si>
  <si>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</si>
  <si>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</si>
  <si>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</si>
  <si>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</si>
  <si>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</si>
  <si>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</si>
  <si>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</si>
  <si>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</si>
  <si>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</si>
  <si>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</si>
  <si>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</si>
  <si>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</si>
  <si>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</si>
  <si>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</si>
  <si>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</si>
  <si>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</si>
  <si>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</si>
  <si>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</si>
  <si>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</si>
  <si>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</si>
  <si>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</si>
  <si>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</si>
  <si>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</si>
  <si>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</si>
  <si>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</si>
  <si>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</si>
  <si>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</si>
  <si>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</si>
  <si>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</si>
  <si>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</si>
  <si>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</si>
  <si>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</si>
  <si>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</si>
  <si>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</si>
  <si>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</si>
  <si>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</si>
  <si>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</si>
  <si>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</si>
  <si>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</si>
  <si>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</si>
  <si>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</si>
  <si>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</si>
  <si>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</si>
  <si>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</si>
  <si>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</si>
  <si>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</si>
  <si>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</si>
  <si>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</si>
  <si>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</si>
  <si>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</si>
  <si>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</si>
  <si>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</si>
  <si>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</si>
  <si>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</si>
  <si>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</si>
  <si>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</si>
  <si>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</si>
  <si>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</si>
  <si>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</si>
  <si>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</si>
  <si>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</si>
  <si>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</si>
  <si>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</si>
  <si>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</si>
  <si>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</si>
  <si>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</si>
  <si>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</si>
  <si>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</si>
  <si>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</si>
  <si>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</si>
  <si>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</si>
  <si>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</si>
  <si>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</si>
  <si>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</si>
  <si>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</si>
  <si>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</si>
  <si>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</si>
  <si>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</si>
  <si>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</si>
  <si>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</si>
  <si>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</si>
  <si>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</si>
  <si>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</si>
  <si>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</si>
  <si>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</si>
  <si>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</si>
  <si>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</si>
  <si>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</si>
  <si>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</si>
  <si>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</si>
  <si>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</si>
  <si>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</si>
  <si>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</si>
  <si>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</si>
  <si>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</si>
  <si>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</si>
  <si>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</si>
  <si>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</si>
  <si>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</si>
  <si>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</si>
  <si>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</si>
  <si>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</si>
  <si>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</si>
  <si>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</si>
  <si>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</si>
  <si>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</si>
  <si>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</si>
  <si>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</si>
  <si>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</si>
  <si>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</si>
  <si>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</si>
  <si>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</si>
  <si>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</si>
  <si>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</si>
  <si>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</si>
  <si>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</si>
  <si>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</si>
  <si>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</si>
  <si>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</si>
  <si>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</si>
  <si>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</si>
  <si>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</si>
  <si>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</si>
  <si>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</si>
  <si>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</si>
  <si>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</si>
  <si>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</si>
  <si>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</si>
  <si>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</si>
  <si>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</si>
  <si>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</si>
  <si>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</si>
  <si>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</si>
  <si>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</si>
  <si>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</si>
  <si>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</si>
  <si>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</si>
  <si>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</si>
  <si>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</si>
  <si>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</si>
  <si>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</si>
  <si>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</si>
  <si>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</si>
  <si>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</si>
  <si>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</si>
  <si>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</si>
  <si>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</si>
  <si>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</si>
  <si>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</si>
  <si>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</si>
  <si>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</si>
  <si>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</si>
  <si>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</si>
  <si>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</si>
  <si>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</si>
  <si>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</si>
  <si>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</si>
  <si>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</si>
  <si>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</si>
  <si>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</si>
  <si>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</si>
  <si>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</si>
  <si>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</si>
  <si>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</si>
  <si>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</si>
  <si>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</si>
  <si>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</si>
  <si>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</si>
  <si>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</si>
  <si>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</si>
  <si>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</si>
  <si>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</si>
  <si>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</si>
  <si>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</si>
  <si>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</si>
  <si>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</si>
  <si>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</si>
  <si>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</si>
  <si>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</si>
  <si>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</si>
  <si>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</si>
  <si>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</si>
  <si>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</si>
  <si>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</si>
  <si>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</si>
  <si>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</si>
  <si>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</si>
  <si>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</si>
  <si>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</si>
  <si>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</si>
  <si>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</si>
  <si>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</si>
  <si>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</si>
  <si>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</si>
  <si>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</si>
  <si>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</si>
  <si>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</si>
  <si>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</si>
  <si>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</si>
  <si>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</si>
  <si>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</si>
  <si>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</si>
  <si>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</si>
  <si>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</si>
  <si>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</si>
  <si>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</si>
  <si>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</si>
  <si>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</si>
  <si>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</si>
  <si>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</si>
  <si>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</si>
  <si>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</si>
  <si>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</si>
  <si>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</si>
  <si>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</si>
  <si>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</si>
  <si>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</si>
  <si>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</si>
  <si>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</si>
  <si>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</si>
  <si>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</si>
  <si>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</si>
  <si>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</si>
  <si>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</si>
  <si>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</si>
  <si>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</si>
  <si>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</si>
  <si>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</si>
  <si>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</si>
  <si>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</si>
  <si>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</si>
  <si>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</si>
  <si>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</si>
  <si>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</si>
  <si>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</si>
  <si>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</si>
  <si>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</si>
  <si>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</si>
  <si>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</si>
  <si>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</si>
  <si>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</si>
  <si>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</si>
  <si>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</si>
  <si>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</si>
  <si>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</si>
  <si>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</si>
  <si>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</si>
  <si>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</si>
  <si>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</si>
  <si>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</si>
  <si>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</si>
  <si>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</si>
  <si>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</si>
  <si>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</si>
  <si>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</si>
  <si>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</si>
  <si>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</si>
  <si>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</si>
  <si>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</si>
  <si>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</si>
  <si>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</si>
  <si>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</si>
  <si>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</si>
  <si>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</si>
  <si>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</si>
  <si>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</si>
  <si>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</si>
  <si>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</si>
  <si>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</si>
  <si>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</si>
  <si>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</si>
  <si>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</si>
  <si>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</si>
  <si>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</si>
  <si>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</si>
  <si>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</si>
  <si>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</si>
  <si>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</si>
  <si>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</si>
  <si>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</si>
  <si>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</si>
  <si>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</si>
  <si>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</si>
  <si>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</si>
  <si>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</si>
  <si>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</si>
  <si>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</si>
  <si>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</si>
  <si>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</si>
  <si>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</si>
  <si>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</si>
  <si>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</si>
  <si>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</si>
  <si>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</si>
  <si>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</si>
  <si>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</si>
  <si>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</si>
  <si>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</si>
  <si>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</si>
  <si>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</si>
  <si>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</si>
  <si>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</si>
  <si>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</si>
  <si>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</si>
  <si>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</si>
  <si>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</si>
  <si>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</si>
  <si>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</si>
  <si>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</si>
  <si>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</si>
  <si>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</si>
  <si>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</si>
  <si>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</si>
  <si>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</si>
  <si>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</si>
  <si>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</si>
  <si>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</si>
  <si>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</si>
  <si>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</si>
  <si>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</si>
  <si>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</si>
  <si>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</si>
  <si>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</si>
  <si>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</si>
  <si>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</si>
  <si>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</si>
  <si>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</si>
  <si>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</si>
  <si>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</si>
  <si>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</si>
  <si>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</si>
  <si>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</si>
  <si>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</si>
  <si>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</si>
  <si>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</si>
  <si>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</si>
  <si>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</si>
  <si>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</si>
  <si>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</si>
  <si>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</si>
  <si>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</si>
  <si>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</si>
  <si>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</si>
  <si>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</si>
  <si>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</si>
  <si>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</si>
  <si>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</si>
  <si>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</si>
  <si>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</si>
  <si>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</si>
  <si>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</si>
  <si>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</si>
  <si>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</si>
  <si>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</si>
  <si>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</si>
  <si>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</si>
  <si>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</si>
  <si>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</si>
  <si>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</si>
  <si>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</si>
  <si>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</si>
  <si>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</si>
  <si>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</si>
  <si>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</si>
  <si>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</si>
  <si>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</si>
  <si>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</si>
  <si>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</si>
  <si>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</si>
  <si>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</si>
  <si>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</si>
  <si>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</si>
  <si>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</si>
  <si>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</si>
  <si>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</si>
  <si>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</si>
  <si>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</si>
  <si>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</si>
  <si>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</si>
  <si>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</si>
  <si>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</si>
  <si>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</si>
  <si>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</si>
  <si>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</si>
  <si>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</si>
  <si>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</si>
  <si>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</si>
  <si>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</si>
  <si>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</si>
  <si>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</si>
  <si>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</si>
  <si>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</si>
  <si>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</si>
  <si>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</si>
  <si>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</si>
  <si>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</si>
  <si>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</si>
  <si>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</si>
  <si>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</si>
  <si>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</si>
  <si>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</si>
  <si>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</si>
  <si>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</si>
  <si>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</si>
  <si>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</si>
  <si>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</si>
  <si>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</si>
  <si>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</si>
  <si>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</si>
  <si>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</si>
  <si>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</si>
  <si>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</si>
  <si>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</si>
  <si>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</si>
  <si>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</si>
  <si>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</si>
  <si>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</si>
  <si>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</si>
  <si>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</si>
  <si>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</si>
  <si>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</si>
  <si>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</si>
  <si>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</si>
  <si>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</si>
  <si>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</si>
  <si>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</si>
  <si>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</si>
  <si>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</si>
  <si>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</si>
  <si>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</si>
  <si>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</si>
  <si>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</si>
  <si>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</si>
  <si>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</si>
  <si>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</si>
  <si>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</si>
  <si>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</si>
  <si>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</si>
  <si>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</si>
  <si>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</si>
  <si>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</si>
  <si>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</si>
  <si>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</si>
  <si>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</si>
  <si>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</si>
  <si>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</si>
  <si>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</si>
  <si>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</si>
  <si>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</si>
  <si>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</si>
  <si>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</si>
  <si>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</si>
  <si>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</si>
  <si>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</si>
  <si>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</si>
  <si>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</si>
  <si>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</si>
  <si>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</si>
  <si>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</si>
  <si>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</si>
  <si>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</si>
  <si>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</si>
  <si>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</si>
  <si>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</si>
  <si>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</si>
  <si>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</si>
  <si>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</si>
  <si>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</si>
  <si>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</si>
  <si>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</si>
  <si>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</si>
  <si>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</si>
  <si>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</si>
  <si>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</si>
  <si>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</si>
  <si>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</si>
  <si>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</si>
  <si>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</si>
  <si>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</si>
  <si>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</si>
  <si>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</si>
  <si>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</si>
  <si>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</si>
  <si>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</si>
  <si>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</si>
  <si>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</si>
  <si>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</si>
  <si>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</si>
  <si>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</si>
  <si>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</si>
  <si>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</si>
  <si>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</si>
  <si>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</si>
  <si>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</si>
  <si>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</si>
  <si>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</si>
  <si>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</si>
  <si>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</si>
  <si>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</si>
  <si>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</si>
  <si>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</si>
  <si>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</si>
  <si>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</si>
  <si>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</si>
  <si>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</si>
  <si>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</si>
  <si>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</si>
  <si>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</si>
  <si>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</si>
  <si>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</si>
  <si>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</si>
  <si>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</si>
  <si>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</si>
  <si>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</si>
  <si>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</si>
  <si>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</si>
  <si>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</si>
  <si>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</si>
  <si>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</si>
  <si>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</si>
  <si>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</si>
  <si>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</si>
  <si>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</si>
  <si>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</si>
  <si>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</si>
  <si>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</si>
  <si>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</si>
  <si>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</si>
  <si>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</si>
  <si>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</si>
  <si>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</si>
  <si>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</si>
  <si>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</si>
  <si>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</si>
  <si>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</si>
  <si>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</si>
  <si>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</si>
  <si>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</si>
  <si>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</si>
  <si>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</si>
  <si>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</si>
  <si>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</si>
  <si>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</si>
  <si>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</si>
  <si>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</si>
  <si>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</si>
  <si>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</si>
  <si>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</si>
  <si>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</si>
  <si>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</si>
  <si>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</si>
  <si>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</si>
  <si>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</si>
  <si>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</si>
  <si>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</si>
  <si>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</si>
  <si>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</si>
  <si>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</si>
  <si>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</si>
  <si>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</si>
  <si>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</si>
  <si>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</si>
  <si>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</si>
  <si>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</si>
  <si>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</si>
  <si>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</si>
  <si>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</si>
  <si>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</si>
  <si>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</si>
  <si>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</si>
  <si>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</si>
  <si>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</si>
  <si>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</si>
  <si>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</si>
  <si>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</si>
  <si>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</si>
  <si>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</si>
  <si>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</si>
  <si>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</si>
  <si>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</si>
  <si>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</si>
  <si>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</si>
  <si>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</si>
  <si>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</si>
  <si>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</si>
  <si>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</si>
  <si>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</si>
  <si>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</si>
  <si>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</si>
  <si>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</si>
  <si>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</si>
  <si>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</si>
  <si>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</si>
  <si>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</si>
  <si>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</si>
  <si>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</si>
  <si>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</si>
  <si>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</si>
  <si>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</si>
  <si>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</si>
  <si>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</si>
  <si>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</si>
  <si>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</si>
  <si>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</si>
  <si>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</si>
  <si>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</si>
  <si>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</si>
  <si>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</si>
  <si>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</si>
  <si>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</si>
  <si>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</si>
  <si>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</si>
  <si>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</si>
  <si>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</si>
  <si>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</si>
  <si>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</si>
  <si>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</si>
  <si>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</si>
  <si>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</si>
  <si>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</si>
  <si>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</si>
  <si>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</si>
  <si>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</si>
  <si>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</si>
  <si>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</si>
  <si>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</si>
  <si>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</si>
  <si>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</si>
  <si>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</si>
  <si>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</si>
  <si>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</si>
  <si>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</si>
  <si>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</si>
  <si>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</si>
  <si>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</si>
  <si>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</si>
  <si>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</si>
  <si>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</si>
  <si>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</si>
  <si>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</si>
  <si>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</si>
  <si>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</si>
  <si>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</si>
  <si>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</si>
  <si>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</si>
  <si>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</si>
  <si>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</si>
  <si>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</si>
  <si>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</si>
  <si>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</si>
  <si>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</si>
  <si>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</si>
  <si>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</si>
  <si>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</si>
  <si>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</si>
  <si>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</si>
  <si>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</si>
  <si>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</si>
  <si>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</si>
  <si>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</si>
  <si>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</si>
  <si>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</si>
  <si>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</si>
  <si>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</si>
  <si>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</si>
  <si>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</si>
  <si>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</si>
  <si>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</si>
  <si>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</si>
  <si>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</si>
  <si>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</si>
  <si>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</si>
  <si>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</si>
  <si>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</si>
  <si>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</si>
  <si>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</si>
  <si>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</si>
  <si>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</si>
  <si>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</si>
  <si>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</si>
  <si>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</si>
  <si>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</si>
  <si>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</si>
  <si>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</si>
  <si>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</si>
  <si>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</si>
  <si>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</si>
  <si>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</si>
  <si>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</si>
  <si>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</si>
  <si>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</si>
  <si>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</si>
  <si>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</si>
  <si>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</si>
  <si>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</si>
  <si>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</si>
  <si>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</si>
  <si>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</si>
  <si>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</si>
  <si>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</si>
  <si>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</si>
  <si>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</si>
  <si>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</si>
  <si>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</si>
  <si>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</si>
  <si>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</si>
  <si>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</si>
  <si>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</si>
  <si>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</si>
  <si>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</si>
  <si>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</si>
  <si>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</si>
  <si>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</si>
  <si>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</si>
  <si>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</si>
  <si>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</si>
  <si>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</si>
  <si>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</si>
  <si>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</si>
  <si>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</si>
  <si>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</si>
  <si>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</si>
  <si>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</si>
  <si>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</si>
  <si>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</si>
  <si>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</si>
  <si>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</si>
  <si>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</si>
  <si>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</si>
  <si>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</si>
  <si>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</si>
  <si>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</si>
  <si>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</si>
  <si>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</si>
  <si>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</si>
  <si>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</si>
  <si>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</si>
  <si>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</si>
  <si>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</si>
  <si>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</si>
  <si>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</si>
  <si>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</si>
  <si>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</si>
  <si>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</si>
  <si>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</si>
  <si>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</si>
  <si>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</si>
  <si>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</si>
  <si>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</si>
  <si>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</si>
  <si>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</si>
  <si>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</si>
  <si>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</si>
  <si>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</si>
  <si>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</si>
  <si>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</si>
  <si>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</si>
  <si>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</si>
  <si>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</si>
  <si>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</si>
  <si>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</si>
  <si>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</si>
  <si>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</si>
  <si>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</si>
  <si>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</si>
  <si>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</si>
  <si>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</si>
  <si>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</si>
  <si>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</si>
  <si>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</si>
  <si>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</si>
  <si>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</si>
  <si>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</si>
  <si>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</si>
  <si>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</si>
  <si>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</si>
  <si>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</si>
  <si>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</si>
  <si>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</si>
  <si>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</si>
  <si>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</si>
  <si>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</si>
  <si>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</si>
  <si>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</si>
  <si>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</si>
  <si>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</si>
  <si>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</si>
  <si>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</si>
  <si>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</si>
  <si>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</si>
  <si>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</si>
  <si>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</si>
  <si>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</si>
  <si>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</si>
  <si>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</si>
  <si>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</si>
  <si>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</si>
  <si>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</si>
  <si>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</si>
  <si>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</si>
  <si>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</si>
  <si>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</si>
  <si>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</si>
  <si>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</si>
  <si>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</si>
  <si>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</si>
  <si>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</si>
  <si>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</si>
  <si>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</si>
  <si>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</si>
  <si>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</si>
  <si>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</si>
  <si>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</si>
  <si>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</si>
  <si>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</si>
  <si>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</si>
  <si>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</si>
  <si>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</si>
  <si>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</si>
  <si>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</si>
  <si>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</si>
  <si>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</si>
  <si>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</si>
  <si>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</si>
  <si>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</si>
  <si>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</si>
  <si>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</si>
  <si>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</si>
  <si>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</si>
  <si>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</si>
  <si>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</si>
  <si>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</si>
  <si>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</si>
  <si>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</si>
  <si>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</si>
  <si>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</si>
  <si>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</si>
  <si>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</si>
  <si>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</si>
  <si>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</si>
  <si>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</si>
  <si>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</si>
  <si>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</si>
  <si>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</si>
  <si>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</si>
  <si>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</si>
  <si>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</si>
  <si>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</si>
  <si>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</si>
  <si>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</si>
  <si>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</si>
  <si>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</si>
  <si>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</si>
  <si>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</si>
  <si>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</si>
  <si>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</si>
  <si>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</si>
  <si>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</si>
  <si>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</si>
  <si>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</si>
  <si>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</si>
  <si>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</si>
  <si>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</si>
  <si>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</si>
  <si>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</si>
  <si>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</si>
  <si>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</si>
  <si>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</si>
  <si>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</si>
  <si>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</si>
  <si>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</si>
  <si>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</si>
  <si>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</si>
  <si>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</si>
  <si>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</si>
  <si>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</si>
  <si>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</si>
  <si>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</si>
  <si>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</si>
  <si>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</si>
  <si>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</si>
  <si>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</si>
  <si>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</si>
  <si>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</si>
  <si>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</si>
  <si>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</si>
  <si>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</si>
  <si>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</si>
  <si>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</si>
  <si>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</si>
  <si>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</si>
  <si>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</si>
  <si>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</si>
  <si>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</si>
  <si>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</si>
  <si>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</si>
  <si>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</si>
  <si>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</si>
  <si>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</si>
  <si>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</si>
  <si>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</si>
  <si>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</si>
  <si>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</si>
  <si>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</si>
  <si>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</si>
  <si>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</si>
  <si>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</si>
  <si>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</si>
  <si>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</si>
  <si>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</si>
  <si>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</si>
  <si>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</si>
  <si>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</si>
  <si>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</si>
  <si>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</si>
  <si>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</si>
  <si>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</si>
  <si>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</si>
  <si>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</si>
  <si>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</si>
  <si>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</si>
  <si>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</si>
  <si>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</si>
  <si>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</si>
  <si>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</si>
  <si>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</si>
  <si>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</si>
  <si>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</si>
  <si>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</si>
  <si>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</si>
  <si>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</si>
  <si>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</si>
  <si>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</si>
  <si>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</si>
  <si>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</si>
  <si>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</si>
  <si>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</si>
  <si>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</si>
  <si>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</si>
  <si>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</si>
  <si>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</si>
  <si>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</si>
  <si>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</si>
  <si>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</si>
  <si>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</si>
  <si>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</si>
  <si>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</si>
  <si>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</si>
  <si>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</si>
  <si>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</si>
  <si>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</si>
  <si>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</si>
  <si>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</si>
  <si>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</si>
  <si>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</si>
  <si>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</si>
  <si>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</si>
  <si>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</si>
  <si>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</si>
  <si>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</si>
  <si>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</si>
  <si>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</si>
  <si>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</si>
  <si>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</si>
  <si>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</si>
  <si>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</si>
  <si>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</si>
  <si>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</si>
  <si>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</si>
  <si>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</si>
  <si>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</si>
  <si>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</si>
  <si>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</si>
  <si>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</si>
  <si>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</si>
  <si>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</si>
  <si>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</si>
  <si>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</si>
  <si>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</si>
  <si>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</si>
  <si>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</si>
  <si>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</si>
  <si>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</si>
  <si>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</si>
  <si>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</si>
  <si>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</si>
  <si>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</si>
  <si>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</si>
  <si>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</si>
  <si>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</si>
  <si>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</si>
  <si>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</si>
  <si>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</si>
  <si>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</si>
  <si>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</si>
  <si>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</si>
  <si>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</si>
  <si>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</si>
  <si>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</si>
  <si>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</si>
  <si>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</si>
  <si>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</si>
  <si>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</si>
  <si>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</si>
  <si>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</si>
  <si>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</si>
  <si>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</si>
  <si>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</si>
  <si>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</si>
  <si>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</si>
  <si>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</si>
  <si>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</si>
  <si>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</si>
  <si>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</si>
  <si>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</si>
  <si>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</si>
  <si>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</si>
  <si>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</si>
  <si>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</si>
  <si>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</si>
  <si>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</si>
  <si>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</si>
  <si>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</si>
  <si>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</si>
  <si>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</si>
  <si>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</si>
  <si>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</si>
  <si>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</si>
  <si>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</si>
  <si>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</si>
  <si>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</si>
  <si>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</si>
  <si>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</si>
  <si>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</si>
  <si>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</si>
  <si>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</si>
  <si>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</si>
  <si>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</si>
  <si>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</si>
  <si>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</si>
  <si>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</si>
  <si>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</si>
  <si>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</si>
  <si>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</si>
  <si>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</si>
  <si>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</si>
  <si>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</si>
  <si>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</si>
  <si>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</si>
  <si>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</si>
  <si>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</si>
  <si>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</si>
  <si>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</si>
  <si>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</si>
  <si>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</si>
  <si>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</si>
  <si>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</si>
  <si>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</si>
  <si>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</si>
  <si>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</si>
  <si>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</si>
  <si>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</si>
  <si>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</si>
  <si>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</si>
  <si>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</si>
  <si>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</si>
  <si>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</si>
  <si>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</si>
  <si>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</si>
  <si>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</si>
  <si>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</si>
  <si>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</si>
  <si>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</si>
  <si>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</si>
  <si>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</si>
  <si>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</si>
  <si>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</si>
  <si>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</si>
  <si>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</si>
  <si>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</si>
  <si>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</si>
  <si>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</si>
  <si>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</si>
  <si>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</si>
  <si>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</si>
  <si>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</si>
  <si>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</si>
  <si>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</si>
  <si>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</si>
  <si>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</si>
  <si>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</si>
  <si>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</si>
  <si>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</si>
  <si>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</si>
  <si>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</si>
  <si>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</si>
  <si>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</si>
  <si>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</si>
  <si>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</si>
  <si>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</si>
  <si>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</si>
  <si>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</si>
  <si>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</si>
  <si>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</si>
  <si>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</si>
  <si>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</si>
  <si>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</si>
  <si>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</si>
  <si>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</si>
  <si>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</si>
  <si>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</si>
  <si>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</si>
  <si>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</si>
  <si>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</si>
  <si>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</si>
  <si>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</si>
  <si>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</si>
  <si>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</si>
  <si>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</si>
  <si>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</si>
  <si>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</si>
  <si>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</si>
  <si>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</si>
  <si>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</si>
  <si>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</si>
  <si>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</si>
  <si>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</si>
  <si>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</si>
  <si>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</si>
  <si>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</si>
  <si>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</si>
  <si>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</si>
  <si>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</si>
  <si>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</si>
  <si>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</si>
  <si>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</si>
  <si>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</si>
  <si>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</si>
  <si>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</si>
  <si>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</si>
  <si>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</si>
  <si>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</si>
  <si>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</si>
  <si>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</si>
  <si>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</si>
  <si>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</si>
  <si>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</si>
  <si>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</si>
  <si>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</si>
  <si>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</si>
  <si>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</si>
  <si>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</si>
  <si>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</si>
  <si>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</si>
  <si>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</si>
  <si>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</si>
  <si>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</si>
  <si>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</si>
  <si>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</si>
  <si>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</si>
  <si>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</si>
  <si>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</si>
  <si>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</si>
  <si>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</si>
  <si>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</si>
  <si>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</si>
  <si>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</si>
  <si>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</si>
  <si>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</si>
  <si>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</si>
  <si>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</si>
  <si>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</si>
  <si>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</si>
  <si>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</si>
  <si>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</si>
  <si>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</si>
  <si>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</si>
  <si>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</si>
  <si>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</si>
  <si>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</si>
  <si>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</si>
  <si>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</si>
  <si>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</si>
  <si>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</si>
  <si>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</si>
  <si>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</si>
  <si>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</si>
  <si>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</si>
  <si>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</si>
  <si>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</si>
  <si>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</si>
  <si>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</si>
  <si>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</si>
  <si>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</si>
  <si>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</si>
  <si>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</si>
  <si>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</si>
  <si>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</si>
  <si>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</si>
  <si>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</si>
  <si>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</si>
  <si>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</si>
  <si>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</si>
  <si>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</si>
  <si>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</si>
  <si>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</si>
  <si>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</si>
  <si>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</si>
  <si>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</si>
  <si>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</si>
  <si>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</si>
  <si>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</si>
  <si>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</si>
  <si>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</si>
  <si>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</si>
  <si>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</si>
  <si>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</si>
  <si>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</si>
  <si>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</si>
  <si>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</si>
  <si>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</si>
  <si>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</si>
  <si>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</si>
  <si>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</si>
  <si>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</si>
  <si>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</si>
  <si>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</si>
  <si>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</si>
  <si>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</si>
  <si>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</si>
  <si>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</si>
  <si>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</si>
  <si>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</si>
  <si>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</si>
  <si>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</si>
  <si>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</si>
  <si>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</si>
  <si>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</si>
  <si>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</si>
  <si>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</si>
  <si>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</si>
  <si>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</si>
  <si>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</si>
  <si>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</si>
  <si>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</si>
  <si>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</si>
  <si>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</si>
  <si>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</si>
  <si>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</si>
  <si>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</si>
  <si>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</si>
  <si>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</si>
  <si>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</si>
  <si>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</si>
  <si>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</si>
  <si>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</si>
  <si>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</si>
  <si>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</si>
  <si>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</si>
  <si>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</si>
  <si>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</si>
  <si>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</si>
  <si>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</si>
  <si>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</si>
  <si>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</si>
  <si>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</si>
  <si>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</si>
  <si>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</si>
  <si>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</si>
  <si>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</si>
  <si>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</si>
  <si>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</si>
  <si>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</si>
  <si>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</si>
  <si>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</si>
  <si>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</si>
  <si>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</si>
  <si>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</si>
  <si>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</si>
  <si>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</si>
  <si>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</si>
  <si>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</si>
  <si>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</si>
  <si>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</si>
  <si>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</si>
  <si>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</si>
  <si>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</si>
  <si>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</si>
  <si>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</si>
  <si>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</si>
  <si>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</si>
  <si>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</si>
  <si>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</si>
  <si>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</si>
  <si>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</si>
  <si>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</si>
  <si>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</si>
  <si>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</si>
  <si>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</si>
  <si>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</si>
  <si>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</si>
  <si>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</si>
  <si>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</si>
  <si>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</si>
  <si>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</si>
  <si>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</si>
  <si>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</si>
  <si>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</si>
  <si>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</si>
  <si>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</si>
  <si>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</si>
  <si>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</si>
  <si>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</si>
  <si>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</si>
  <si>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</si>
  <si>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</si>
  <si>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</si>
  <si>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</si>
  <si>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</si>
  <si>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</si>
  <si>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</si>
  <si>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</si>
  <si>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</si>
  <si>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</si>
  <si>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</si>
  <si>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</si>
  <si>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</si>
  <si>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</si>
  <si>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</si>
  <si>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</si>
  <si>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</si>
  <si>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</si>
  <si>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</si>
  <si>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</si>
  <si>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</si>
  <si>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</si>
  <si>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</si>
  <si>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</si>
  <si>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</si>
  <si>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</si>
  <si>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</si>
  <si>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</si>
  <si>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</si>
  <si>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</si>
  <si>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</si>
  <si>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</si>
  <si>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</si>
  <si>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</si>
  <si>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</si>
  <si>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</si>
  <si>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</si>
  <si>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</si>
  <si>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</si>
  <si>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</si>
  <si>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</si>
  <si>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</si>
  <si>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</si>
  <si>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</si>
  <si>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</si>
  <si>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</si>
  <si>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</si>
  <si>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</si>
  <si>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</si>
  <si>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</si>
  <si>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</si>
  <si>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</si>
  <si>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</si>
  <si>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</si>
  <si>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</si>
  <si>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</si>
  <si>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</si>
  <si>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</si>
  <si>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</si>
  <si>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</si>
  <si>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</si>
  <si>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</si>
  <si>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</si>
  <si>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</si>
  <si>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</si>
  <si>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</si>
  <si>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</si>
  <si>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</si>
  <si>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</si>
  <si>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</si>
  <si>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</si>
  <si>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</si>
  <si>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</si>
  <si>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</si>
  <si>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</si>
  <si>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</si>
  <si>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</si>
  <si>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</si>
  <si>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</si>
  <si>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</si>
  <si>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</si>
  <si>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</si>
  <si>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</si>
  <si>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</si>
  <si>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</si>
  <si>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</si>
  <si>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</si>
  <si>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</si>
  <si>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</si>
  <si>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</si>
  <si>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</si>
  <si>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</si>
  <si>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</si>
  <si>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</si>
  <si>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</si>
  <si>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</si>
  <si>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</si>
  <si>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</si>
  <si>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</si>
  <si>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</si>
  <si>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</si>
  <si>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</si>
  <si>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</si>
  <si>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</si>
  <si>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</si>
  <si>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</si>
  <si>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</si>
  <si>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</si>
  <si>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</si>
  <si>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</si>
  <si>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</si>
  <si>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</si>
  <si>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</si>
  <si>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</si>
  <si>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</si>
  <si>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</si>
  <si>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</si>
  <si>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</si>
  <si>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</si>
  <si>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</si>
  <si>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</si>
  <si>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</si>
  <si>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</si>
  <si>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</si>
  <si>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</si>
  <si>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</si>
  <si>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</si>
  <si>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</si>
  <si>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</si>
  <si>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</si>
  <si>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</si>
  <si>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</si>
  <si>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</si>
  <si>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</si>
  <si>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</si>
  <si>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</si>
  <si>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</si>
  <si>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</si>
  <si>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</si>
  <si>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</si>
  <si>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</si>
  <si>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</si>
  <si>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</si>
  <si>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</si>
  <si>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</si>
  <si>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</si>
  <si>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</si>
  <si>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</si>
  <si>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</si>
  <si>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</si>
  <si>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</si>
  <si>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</si>
  <si>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</si>
  <si>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</si>
  <si>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</si>
  <si>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</si>
  <si>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</si>
  <si>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</si>
  <si>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</si>
  <si>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</si>
  <si>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</si>
  <si>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</si>
  <si>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</si>
  <si>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</si>
  <si>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</si>
  <si>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</si>
  <si>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</si>
  <si>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</si>
  <si>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</si>
  <si>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</si>
  <si>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</si>
  <si>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</si>
  <si>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</si>
  <si>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</si>
  <si>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</si>
  <si>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</si>
  <si>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</si>
  <si>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</si>
  <si>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</si>
  <si>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</si>
  <si>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</si>
  <si>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</si>
  <si>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</si>
  <si>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</si>
  <si>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</si>
  <si>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</si>
  <si>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</si>
  <si>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</si>
  <si>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</si>
  <si>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</si>
  <si>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</si>
  <si>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</si>
  <si>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</si>
  <si>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</si>
  <si>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</si>
  <si>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</si>
  <si>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</si>
  <si>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</si>
  <si>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</si>
  <si>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</si>
  <si>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</si>
  <si>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</si>
  <si>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</si>
  <si>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</si>
  <si>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</si>
  <si>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</si>
  <si>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</si>
  <si>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</si>
  <si>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</si>
  <si>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</si>
  <si>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</si>
  <si>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</si>
  <si>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</si>
  <si>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</si>
  <si>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</si>
  <si>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</si>
  <si>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</si>
  <si>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</si>
  <si>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</si>
  <si>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</si>
  <si>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</si>
  <si>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</si>
  <si>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</si>
  <si>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</si>
  <si>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</si>
  <si>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</si>
  <si>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</si>
  <si>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</si>
  <si>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</si>
  <si>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</si>
  <si>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</si>
  <si>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</si>
  <si>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</si>
  <si>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</si>
  <si>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</si>
  <si>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</si>
  <si>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</si>
  <si>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</si>
  <si>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</si>
  <si>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</si>
  <si>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</si>
  <si>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</si>
  <si>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</si>
  <si>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</si>
  <si>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</si>
  <si>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</si>
  <si>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</si>
  <si>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</si>
  <si>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</si>
  <si>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</si>
  <si>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</si>
  <si>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</si>
  <si>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</si>
  <si>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</si>
  <si>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</si>
  <si>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</si>
  <si>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</si>
  <si>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</si>
  <si>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</si>
  <si>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</si>
  <si>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</si>
  <si>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</si>
  <si>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</si>
  <si>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</si>
  <si>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</si>
  <si>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</si>
  <si>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</si>
  <si>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</si>
  <si>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</si>
  <si>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</si>
  <si>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</si>
  <si>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</si>
  <si>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</si>
  <si>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</si>
  <si>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</si>
  <si>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</si>
  <si>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</si>
  <si>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</si>
  <si>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</si>
  <si>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</si>
  <si>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</si>
  <si>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</si>
  <si>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</si>
  <si>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</si>
  <si>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</si>
  <si>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</si>
  <si>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</si>
  <si>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</si>
  <si>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</si>
  <si>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</si>
  <si>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</si>
  <si>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</si>
  <si>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</si>
  <si>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</si>
  <si>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</si>
  <si>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</si>
  <si>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</si>
  <si>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</si>
  <si>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</si>
  <si>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</si>
  <si>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</si>
  <si>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</si>
  <si>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</si>
  <si>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</si>
  <si>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</si>
  <si>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</si>
  <si>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</si>
  <si>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</si>
  <si>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</si>
  <si>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</si>
  <si>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</si>
  <si>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</si>
  <si>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</si>
  <si>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</si>
  <si>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</si>
  <si>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</si>
  <si>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</si>
  <si>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</si>
  <si>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</si>
  <si>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</si>
  <si>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</si>
  <si>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</si>
  <si>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</si>
  <si>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</si>
  <si>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</si>
  <si>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</si>
  <si>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</si>
  <si>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</si>
  <si>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</si>
  <si>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</si>
  <si>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</si>
  <si>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</si>
  <si>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</si>
  <si>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</si>
  <si>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</si>
  <si>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</si>
  <si>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</si>
  <si>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</si>
  <si>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</si>
  <si>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</si>
  <si>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</si>
  <si>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</si>
  <si>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</si>
  <si>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</si>
  <si>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</si>
  <si>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</si>
  <si>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</si>
  <si>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</si>
  <si>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</si>
  <si>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</si>
  <si>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</si>
  <si>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</si>
  <si>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</si>
  <si>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</si>
  <si>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</si>
  <si>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</si>
  <si>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</si>
  <si>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</si>
  <si>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</si>
  <si>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</si>
  <si>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</si>
  <si>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</si>
  <si>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</si>
  <si>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</si>
  <si>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</si>
  <si>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</si>
  <si>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</si>
  <si>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</si>
  <si>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</si>
  <si>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</si>
  <si>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</si>
  <si>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</si>
  <si>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</si>
  <si>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</si>
  <si>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</si>
  <si>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</si>
  <si>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</si>
  <si>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</si>
  <si>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</si>
  <si>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</si>
  <si>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</si>
  <si>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</si>
  <si>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</si>
  <si>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</si>
  <si>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</si>
  <si>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</si>
  <si>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</si>
  <si>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</si>
  <si>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</si>
  <si>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</si>
  <si>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</si>
  <si>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</si>
  <si>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</si>
  <si>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</si>
  <si>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</si>
  <si>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</si>
  <si>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</si>
  <si>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</si>
  <si>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</si>
  <si>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</si>
  <si>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</si>
  <si>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</si>
  <si>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</si>
  <si>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</si>
  <si>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</si>
  <si>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</si>
  <si>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</si>
  <si>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</si>
  <si>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</si>
  <si>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</si>
  <si>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</si>
  <si>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</si>
  <si>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</si>
  <si>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</si>
  <si>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</si>
  <si>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</si>
  <si>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</si>
  <si>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</si>
  <si>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</si>
  <si>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</si>
  <si>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</si>
  <si>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</si>
  <si>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</si>
  <si>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</si>
  <si>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</si>
  <si>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</si>
  <si>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</si>
  <si>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</si>
  <si>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</si>
  <si>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</si>
  <si>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</si>
  <si>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</si>
  <si>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</si>
  <si>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</si>
  <si>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</si>
  <si>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</si>
  <si>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</si>
  <si>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</si>
  <si>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</si>
  <si>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</si>
  <si>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</si>
  <si>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</si>
  <si>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</si>
  <si>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</si>
  <si>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</si>
  <si>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</si>
  <si>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</si>
  <si>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</si>
  <si>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</si>
  <si>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</si>
  <si>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</si>
  <si>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</si>
  <si>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</si>
  <si>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</si>
  <si>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</si>
  <si>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</si>
  <si>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</si>
  <si>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</si>
  <si>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</si>
  <si>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</si>
  <si>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</si>
  <si>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</si>
  <si>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</si>
  <si>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</si>
  <si>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</si>
  <si>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</si>
  <si>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</si>
  <si>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</si>
  <si>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</si>
  <si>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</si>
  <si>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</si>
  <si>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</si>
  <si>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</si>
  <si>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</si>
  <si>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</si>
  <si>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</si>
  <si>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</si>
  <si>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</si>
  <si>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</si>
  <si>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</si>
  <si>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</si>
  <si>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</si>
  <si>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</si>
  <si>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</si>
  <si>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</si>
  <si>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</si>
  <si>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</si>
  <si>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</si>
  <si>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</si>
  <si>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</si>
  <si>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</si>
  <si>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</si>
  <si>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</si>
  <si>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</si>
  <si>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</si>
  <si>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</si>
  <si>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</si>
  <si>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</si>
  <si>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</si>
  <si>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</si>
  <si>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</si>
  <si>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</si>
  <si>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</si>
  <si>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</si>
  <si>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</si>
  <si>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</si>
  <si>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</si>
  <si>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</si>
  <si>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</si>
  <si>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</si>
  <si>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</si>
  <si>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</si>
  <si>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</si>
  <si>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</si>
  <si>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</si>
  <si>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</si>
  <si>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</si>
  <si>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</si>
  <si>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</si>
  <si>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</si>
  <si>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</si>
  <si>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</si>
  <si>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</si>
  <si>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</si>
  <si>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</si>
  <si>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</si>
  <si>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</si>
  <si>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</si>
  <si>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</si>
  <si>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</si>
  <si>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</si>
  <si>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</si>
  <si>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</si>
  <si>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</si>
  <si>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</si>
  <si>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</si>
  <si>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</si>
  <si>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</si>
  <si>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</si>
  <si>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</si>
  <si>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</si>
  <si>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</si>
  <si>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</si>
  <si>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</si>
  <si>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</si>
  <si>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</si>
  <si>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</si>
  <si>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</si>
  <si>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</si>
  <si>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</si>
  <si>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</si>
  <si>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</si>
  <si>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</si>
  <si>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</si>
  <si>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</si>
  <si>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</si>
  <si>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</si>
  <si>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</si>
  <si>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</si>
  <si>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</si>
  <si>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</si>
  <si>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</si>
  <si>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</si>
  <si>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</si>
  <si>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</si>
  <si>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</si>
  <si>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</si>
  <si>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</si>
  <si>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</si>
  <si>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</si>
  <si>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</si>
  <si>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</si>
  <si>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</si>
  <si>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</si>
  <si>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</si>
  <si>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</si>
  <si>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</si>
  <si>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</si>
  <si>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</si>
  <si>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</si>
  <si>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</si>
  <si>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</si>
  <si>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</si>
  <si>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</si>
  <si>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</si>
  <si>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</si>
  <si>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</si>
  <si>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</si>
  <si>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</si>
  <si>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</si>
  <si>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</si>
  <si>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</si>
  <si>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</si>
  <si>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</si>
  <si>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</si>
  <si>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</si>
  <si>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</si>
  <si>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</si>
  <si>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</si>
  <si>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</si>
  <si>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</si>
  <si>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</si>
  <si>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</si>
  <si>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</si>
  <si>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</si>
  <si>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</si>
  <si>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</si>
  <si>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</si>
  <si>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</si>
  <si>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</si>
  <si>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</si>
  <si>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</si>
  <si>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</si>
  <si>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</si>
  <si>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</si>
  <si>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</si>
  <si>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</si>
  <si>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</si>
  <si>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</si>
  <si>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</si>
  <si>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</si>
  <si>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</si>
  <si>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</si>
  <si>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</si>
  <si>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</si>
  <si>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</si>
  <si>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</si>
  <si>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</si>
  <si>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</si>
  <si>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</si>
  <si>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</si>
  <si>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</si>
  <si>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</si>
  <si>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</si>
  <si>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</si>
  <si>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</si>
  <si>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</si>
  <si>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</si>
  <si>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</si>
  <si>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</si>
  <si>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</si>
  <si>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</si>
  <si>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</si>
  <si>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</si>
  <si>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</si>
  <si>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</si>
  <si>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</si>
  <si>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</si>
  <si>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</si>
  <si>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</si>
  <si>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</si>
  <si>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</si>
  <si>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</si>
  <si>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</si>
  <si>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</si>
  <si>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</si>
  <si>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</si>
  <si>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</si>
  <si>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</si>
  <si>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</si>
  <si>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</si>
  <si>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</si>
  <si>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</si>
  <si>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</si>
  <si>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</si>
  <si>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</si>
  <si>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</si>
  <si>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</si>
  <si>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</si>
  <si>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</si>
  <si>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</si>
  <si>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</si>
  <si>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</si>
  <si>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</si>
  <si>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</si>
  <si>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</si>
  <si>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</si>
  <si>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</si>
  <si>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</si>
  <si>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</si>
  <si>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</si>
  <si>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</si>
  <si>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</si>
  <si>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</si>
  <si>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</si>
  <si>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</si>
  <si>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</si>
  <si>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</si>
  <si>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</si>
  <si>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</si>
  <si>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</si>
  <si>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</si>
  <si>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</si>
  <si>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</si>
  <si>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</si>
  <si>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</si>
  <si>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</si>
  <si>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</si>
  <si>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</si>
  <si>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</si>
  <si>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</si>
  <si>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</si>
  <si>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</si>
  <si>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</si>
  <si>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</si>
  <si>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</si>
  <si>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</si>
  <si>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</si>
  <si>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</si>
  <si>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</si>
  <si>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</si>
  <si>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</si>
  <si>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</si>
  <si>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</si>
  <si>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</si>
  <si>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</si>
  <si>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</si>
  <si>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</si>
  <si>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</si>
  <si>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</si>
  <si>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</si>
  <si>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</si>
  <si>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</si>
  <si>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</si>
  <si>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</si>
  <si>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</si>
  <si>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</si>
  <si>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</si>
  <si>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</si>
  <si>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</si>
  <si>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</si>
  <si>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</si>
  <si>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</si>
  <si>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</si>
  <si>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</si>
  <si>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</si>
  <si>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</si>
  <si>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</si>
  <si>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</si>
  <si>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</si>
  <si>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</si>
  <si>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</si>
  <si>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</si>
  <si>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</si>
  <si>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</si>
  <si>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</si>
  <si>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</si>
  <si>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</si>
  <si>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</si>
  <si>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</si>
  <si>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</si>
  <si>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</si>
  <si>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</si>
  <si>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</si>
  <si>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</si>
  <si>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</si>
  <si>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</si>
  <si>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</si>
  <si>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</si>
  <si>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</si>
  <si>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</si>
  <si>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</si>
  <si>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</si>
  <si>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</si>
  <si>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</si>
  <si>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</si>
  <si>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</si>
  <si>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</si>
  <si>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</si>
  <si>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</si>
  <si>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</si>
  <si>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</si>
  <si>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</si>
  <si>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</si>
  <si>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</si>
  <si>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</si>
  <si>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</si>
  <si>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</si>
  <si>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</si>
  <si>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</si>
  <si>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</si>
  <si>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</si>
  <si>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</si>
  <si>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</si>
  <si>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</si>
  <si>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</si>
  <si>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</si>
  <si>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</si>
  <si>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</si>
  <si>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</si>
  <si>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</si>
  <si>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</si>
  <si>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</si>
  <si>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</si>
  <si>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</si>
  <si>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</si>
  <si>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</si>
  <si>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</si>
  <si>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</si>
  <si>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</si>
  <si>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</si>
  <si>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</si>
  <si>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</si>
  <si>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</si>
  <si>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</si>
  <si>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</si>
  <si>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</si>
  <si>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</si>
  <si>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</si>
  <si>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</si>
  <si>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</si>
  <si>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</si>
  <si>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</si>
  <si>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</si>
  <si>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</si>
  <si>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</si>
  <si>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</si>
  <si>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</si>
  <si>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</si>
  <si>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</si>
  <si>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</si>
  <si>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</si>
  <si>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</si>
  <si>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</si>
  <si>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</si>
  <si>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</si>
  <si>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</si>
  <si>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</si>
  <si>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</si>
  <si>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</si>
  <si>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</si>
  <si>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</si>
  <si>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</si>
  <si>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</si>
  <si>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</si>
  <si>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</si>
  <si>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</si>
  <si>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</si>
  <si>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</si>
  <si>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</si>
  <si>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</si>
  <si>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</si>
  <si>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</si>
  <si>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</si>
  <si>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</si>
  <si>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</si>
  <si>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</si>
  <si>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</si>
  <si>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</si>
  <si>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</si>
  <si>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</si>
  <si>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</si>
  <si>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</si>
  <si>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</si>
  <si>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</si>
  <si>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</si>
  <si>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</si>
  <si>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</si>
  <si>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</si>
  <si>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</si>
  <si>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</si>
  <si>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</si>
  <si>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</si>
  <si>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</si>
  <si>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</si>
  <si>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</si>
  <si>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</si>
  <si>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</si>
  <si>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</si>
  <si>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</si>
  <si>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</si>
  <si>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</si>
  <si>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</si>
  <si>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</si>
  <si>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</si>
  <si>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</si>
  <si>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</si>
  <si>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</si>
  <si>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</si>
  <si>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</si>
  <si>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</si>
  <si>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</si>
  <si>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</si>
  <si>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</si>
  <si>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</si>
  <si>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</si>
  <si>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</si>
  <si>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</si>
  <si>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</si>
  <si>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</si>
  <si>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</si>
  <si>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</si>
  <si>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</si>
  <si>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</si>
  <si>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</si>
  <si>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</si>
  <si>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</si>
  <si>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</si>
  <si>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</si>
  <si>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</si>
  <si>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</si>
  <si>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</si>
  <si>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</si>
  <si>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</si>
  <si>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</si>
  <si>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</si>
  <si>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</si>
  <si>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</si>
  <si>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</si>
  <si>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</si>
  <si>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</si>
  <si>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</si>
  <si>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</si>
  <si>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</si>
  <si>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</si>
  <si>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</si>
  <si>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</si>
  <si>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</si>
  <si>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</si>
  <si>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</si>
  <si>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</si>
  <si>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</si>
  <si>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</si>
  <si>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</si>
  <si>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</si>
  <si>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</si>
  <si>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</si>
  <si>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</si>
  <si>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</si>
  <si>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</si>
  <si>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</si>
  <si>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</si>
  <si>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</si>
  <si>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</si>
  <si>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</si>
  <si>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</si>
  <si>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</si>
  <si>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</si>
  <si>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</si>
  <si>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</si>
  <si>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</si>
  <si>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</si>
  <si>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</si>
  <si>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</si>
  <si>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</si>
  <si>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</si>
  <si>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</si>
  <si>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</si>
  <si>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</si>
  <si>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</si>
  <si>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</si>
  <si>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</si>
  <si>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</si>
  <si>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</si>
  <si>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</si>
  <si>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</si>
  <si>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</si>
  <si>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</si>
  <si>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</si>
  <si>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</si>
  <si>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</si>
  <si>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</si>
  <si>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</si>
  <si>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</si>
  <si>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</si>
  <si>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</si>
  <si>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</si>
  <si>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</si>
  <si>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</si>
  <si>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</si>
  <si>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</si>
  <si>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</si>
  <si>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</si>
  <si>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</si>
  <si>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</si>
  <si>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</si>
  <si>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</si>
  <si>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</si>
  <si>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</si>
  <si>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</si>
  <si>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</si>
  <si>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</si>
  <si>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</si>
  <si>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</si>
  <si>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</si>
  <si>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</si>
  <si>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</si>
  <si>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</si>
  <si>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</si>
  <si>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</si>
  <si>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</si>
  <si>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</si>
  <si>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</si>
  <si>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</si>
  <si>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</si>
  <si>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</si>
  <si>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</si>
  <si>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</si>
  <si>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</si>
  <si>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</si>
  <si>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</si>
  <si>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</si>
  <si>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</si>
  <si>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</si>
  <si>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</si>
  <si>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</si>
  <si>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</si>
  <si>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</si>
  <si>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</si>
  <si>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</si>
  <si>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</si>
  <si>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</si>
  <si>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</si>
  <si>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</si>
  <si>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</si>
  <si>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</si>
  <si>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</si>
  <si>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</si>
  <si>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</si>
  <si>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</si>
  <si>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</si>
  <si>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</si>
  <si>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</si>
  <si>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</si>
  <si>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</si>
  <si>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</si>
  <si>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</si>
  <si>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</si>
  <si>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</si>
  <si>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</si>
  <si>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</si>
  <si>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</si>
  <si>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</si>
  <si>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</si>
  <si>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</si>
  <si>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</si>
  <si>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</si>
  <si>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</si>
  <si>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</si>
  <si>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</si>
  <si>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</si>
  <si>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</si>
  <si>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</si>
  <si>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</si>
  <si>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</si>
  <si>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</si>
  <si>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</si>
  <si>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</si>
  <si>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</si>
  <si>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</si>
  <si>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</si>
  <si>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</si>
  <si>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</si>
  <si>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</si>
  <si>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</si>
  <si>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</si>
  <si>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</si>
  <si>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</si>
  <si>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</si>
  <si>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</si>
  <si>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</si>
  <si>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</si>
  <si>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</si>
  <si>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</si>
  <si>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</si>
  <si>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</si>
  <si>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</si>
  <si>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</si>
  <si>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</si>
  <si>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</si>
  <si>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</si>
  <si>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</si>
  <si>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</si>
  <si>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</si>
  <si>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</si>
  <si>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</si>
  <si>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</si>
  <si>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</si>
  <si>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</si>
  <si>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</si>
  <si>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</si>
  <si>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</si>
  <si>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</si>
  <si>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</si>
  <si>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</si>
  <si>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</si>
  <si>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</si>
  <si>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</si>
  <si>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</si>
  <si>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</si>
  <si>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</si>
  <si>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</si>
  <si>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</si>
  <si>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</si>
  <si>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</si>
  <si>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</si>
  <si>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</si>
  <si>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</si>
  <si>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</si>
  <si>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</si>
  <si>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</si>
  <si>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</si>
  <si>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</si>
  <si>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</si>
  <si>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</si>
  <si>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</si>
  <si>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</si>
  <si>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</si>
  <si>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</si>
  <si>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</si>
  <si>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</si>
  <si>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</si>
  <si>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</si>
  <si>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</si>
  <si>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</si>
  <si>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</si>
  <si>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</si>
  <si>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</si>
  <si>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</si>
  <si>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</si>
  <si>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</si>
  <si>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</si>
  <si>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</si>
  <si>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</si>
  <si>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</si>
  <si>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</si>
  <si>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</si>
  <si>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</si>
  <si>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</si>
  <si>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</si>
  <si>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</si>
  <si>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</si>
  <si>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</si>
  <si>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</si>
  <si>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</si>
  <si>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</si>
  <si>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</si>
  <si>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</si>
  <si>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</si>
  <si>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</si>
  <si>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</si>
  <si>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</si>
  <si>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</si>
  <si>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</si>
  <si>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</si>
  <si>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</si>
  <si>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</si>
  <si>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</si>
  <si>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</si>
  <si>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</si>
  <si>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</si>
  <si>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</si>
  <si>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</si>
  <si>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</si>
  <si>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</si>
  <si>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</si>
  <si>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</si>
  <si>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</si>
  <si>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</si>
  <si>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</si>
  <si>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</si>
  <si>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</si>
  <si>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</si>
  <si>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</si>
  <si>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</si>
  <si>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</si>
  <si>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</si>
  <si>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</si>
  <si>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</si>
  <si>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</si>
  <si>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</si>
  <si>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</si>
  <si>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</si>
  <si>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</si>
  <si>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</si>
  <si>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</si>
  <si>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</si>
  <si>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</si>
  <si>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</si>
  <si>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</si>
  <si>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</si>
  <si>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</si>
  <si>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</si>
  <si>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</si>
  <si>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</si>
  <si>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</si>
  <si>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</si>
  <si>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</si>
  <si>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</si>
  <si>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</si>
  <si>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</si>
  <si>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</si>
  <si>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</si>
  <si>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</si>
  <si>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</si>
  <si>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</si>
  <si>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</si>
  <si>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</si>
  <si>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</si>
  <si>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</si>
  <si>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</si>
  <si>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</si>
  <si>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</si>
  <si>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</si>
  <si>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</si>
  <si>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</si>
  <si>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</si>
  <si>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</si>
  <si>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</si>
  <si>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</si>
  <si>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</si>
  <si>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</si>
  <si>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</si>
  <si>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</si>
  <si>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</si>
  <si>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</si>
  <si>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</si>
  <si>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</si>
  <si>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</si>
  <si>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</si>
  <si>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</si>
  <si>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</si>
  <si>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</si>
  <si>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</si>
  <si>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</si>
  <si>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</si>
  <si>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</si>
  <si>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</si>
  <si>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</si>
  <si>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</si>
  <si>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</si>
  <si>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</si>
  <si>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</si>
  <si>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</si>
  <si>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</si>
  <si>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</si>
  <si>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</si>
  <si>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</si>
  <si>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</si>
  <si>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</si>
  <si>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</si>
  <si>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</si>
  <si>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</si>
  <si>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</si>
  <si>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</si>
  <si>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</si>
  <si>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</si>
  <si>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</si>
  <si>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</si>
  <si>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</si>
  <si>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</si>
  <si>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</si>
  <si>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</si>
  <si>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</si>
  <si>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</si>
  <si>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</si>
  <si>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</si>
  <si>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</si>
  <si>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</si>
  <si>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</si>
  <si>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</si>
  <si>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</si>
  <si>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</si>
  <si>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</si>
  <si>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</si>
  <si>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</si>
  <si>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</si>
  <si>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</si>
  <si>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</si>
  <si>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</si>
  <si>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</si>
  <si>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</si>
  <si>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</si>
  <si>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</si>
  <si>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</si>
  <si>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</si>
  <si>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</si>
  <si>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</si>
  <si>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</si>
  <si>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</si>
  <si>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</si>
  <si>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</si>
  <si>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</si>
  <si>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</si>
  <si>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</si>
  <si>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</si>
  <si>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</si>
  <si>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</si>
  <si>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</si>
  <si>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</si>
  <si>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</si>
  <si>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</si>
  <si>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</si>
  <si>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</si>
  <si>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</si>
  <si>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</si>
  <si>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</si>
  <si>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</si>
  <si>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</si>
  <si>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</si>
  <si>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</si>
  <si>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</si>
  <si>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</si>
  <si>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</si>
  <si>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</si>
  <si>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</si>
  <si>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</si>
  <si>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</si>
  <si>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</si>
  <si>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</si>
  <si>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</si>
  <si>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</si>
  <si>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</si>
  <si>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</si>
  <si>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</si>
  <si>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</si>
  <si>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</si>
  <si>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</si>
  <si>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</si>
  <si>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</si>
  <si>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</si>
  <si>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</si>
  <si>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</si>
  <si>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</si>
  <si>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</si>
  <si>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</si>
  <si>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</si>
  <si>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</si>
  <si>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</si>
  <si>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</si>
  <si>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</si>
  <si>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</si>
  <si>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</si>
  <si>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</si>
  <si>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</si>
  <si>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</si>
  <si>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</si>
  <si>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</si>
  <si>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</si>
  <si>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</si>
  <si>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</si>
  <si>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</si>
  <si>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</si>
  <si>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</si>
  <si>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</si>
  <si>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</si>
  <si>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</si>
  <si>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</si>
  <si>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</si>
  <si>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</si>
  <si>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</si>
  <si>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</si>
  <si>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</si>
  <si>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</si>
  <si>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</si>
  <si>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</si>
  <si>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</si>
  <si>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</si>
  <si>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</si>
  <si>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</si>
  <si>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</si>
  <si>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</si>
  <si>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</si>
  <si>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</si>
  <si>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</si>
  <si>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</si>
  <si>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</si>
  <si>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</si>
  <si>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</si>
  <si>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</si>
  <si>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</si>
  <si>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</si>
  <si>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</si>
  <si>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</si>
  <si>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</si>
  <si>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</si>
  <si>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</si>
  <si>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</si>
  <si>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</si>
  <si>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</si>
  <si>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</si>
  <si>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</si>
  <si>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</si>
  <si>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</si>
  <si>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</si>
  <si>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</si>
  <si>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</si>
  <si>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</si>
  <si>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</si>
  <si>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</si>
  <si>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</si>
  <si>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</si>
  <si>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</si>
  <si>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</si>
  <si>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</si>
  <si>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</si>
  <si>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</si>
  <si>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</si>
  <si>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</si>
  <si>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</si>
  <si>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</si>
  <si>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</si>
  <si>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</si>
  <si>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</si>
  <si>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</si>
  <si>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</si>
  <si>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</si>
  <si>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</si>
  <si>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</si>
  <si>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</si>
  <si>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</si>
  <si>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</si>
  <si>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</si>
  <si>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</si>
  <si>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</si>
  <si>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</si>
  <si>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</si>
  <si>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</si>
  <si>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</si>
  <si>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</si>
  <si>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</si>
  <si>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</si>
  <si>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</si>
  <si>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</si>
  <si>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</si>
  <si>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</si>
  <si>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</si>
  <si>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</si>
  <si>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</si>
  <si>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</si>
  <si>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</si>
  <si>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</si>
  <si>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</si>
  <si>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</si>
  <si>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</si>
  <si>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</si>
  <si>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</si>
  <si>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</si>
  <si>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</si>
  <si>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</si>
  <si>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</si>
  <si>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</si>
  <si>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</si>
  <si>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</si>
  <si>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</si>
  <si>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</si>
  <si>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</si>
  <si>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</si>
  <si>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</si>
  <si>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</si>
  <si>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</si>
  <si>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</si>
  <si>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</si>
  <si>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</si>
  <si>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</si>
  <si>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</si>
  <si>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</si>
  <si>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</si>
  <si>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</si>
  <si>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</si>
  <si>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</si>
  <si>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</si>
  <si>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</si>
  <si>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</si>
  <si>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</si>
  <si>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</si>
  <si>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</si>
  <si>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</si>
  <si>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</si>
  <si>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</si>
  <si>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</si>
  <si>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</si>
  <si>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</si>
  <si>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</si>
  <si>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</si>
  <si>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</si>
  <si>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</si>
  <si>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</si>
  <si>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</si>
  <si>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</si>
  <si>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</si>
  <si>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</si>
  <si>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</si>
  <si>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</si>
  <si>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</si>
  <si>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</si>
  <si>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</si>
  <si>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</si>
  <si>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</si>
  <si>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</si>
  <si>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</si>
  <si>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</si>
  <si>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</si>
  <si>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</si>
  <si>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</si>
  <si>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</si>
  <si>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</si>
  <si>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</si>
  <si>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</si>
  <si>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</si>
  <si>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</si>
  <si>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</si>
  <si>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</si>
  <si>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</si>
  <si>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</si>
  <si>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</si>
  <si>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</si>
  <si>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</si>
  <si>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</si>
  <si>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</si>
  <si>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</si>
  <si>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</si>
  <si>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</si>
  <si>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</si>
  <si>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</si>
  <si>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</si>
  <si>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</si>
  <si>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</si>
  <si>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</si>
  <si>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</si>
  <si>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</si>
  <si>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</si>
  <si>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</si>
  <si>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</si>
  <si>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</si>
  <si>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</si>
  <si>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</si>
  <si>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</si>
  <si>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</si>
  <si>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</si>
  <si>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</si>
  <si>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</si>
  <si>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</si>
  <si>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</si>
  <si>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</si>
  <si>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</si>
  <si>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</si>
  <si>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</si>
  <si>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</si>
  <si>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</si>
  <si>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</si>
  <si>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</si>
  <si>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</si>
  <si>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</si>
  <si>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</si>
  <si>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</si>
  <si>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</si>
  <si>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</si>
  <si>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</si>
  <si>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</si>
  <si>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</si>
  <si>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</si>
  <si>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</si>
  <si>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</si>
  <si>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</si>
  <si>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</si>
  <si>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</si>
  <si>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</si>
  <si>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</si>
  <si>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</si>
  <si>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</si>
  <si>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</si>
  <si>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</si>
  <si>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</si>
  <si>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</si>
  <si>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</si>
  <si>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</si>
  <si>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</si>
  <si>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</si>
  <si>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</si>
  <si>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</si>
  <si>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</si>
  <si>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</si>
  <si>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</si>
  <si>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</si>
  <si>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</si>
  <si>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</si>
  <si>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</si>
  <si>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</si>
  <si>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</si>
  <si>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</si>
  <si>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</si>
  <si>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</si>
  <si>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</si>
  <si>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</si>
  <si>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</si>
  <si>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</si>
  <si>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</si>
  <si>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</si>
  <si>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</si>
  <si>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</si>
  <si>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</si>
  <si>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</si>
  <si>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</si>
  <si>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</si>
  <si>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</si>
  <si>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</si>
  <si>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</si>
  <si>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</si>
  <si>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</si>
  <si>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</si>
  <si>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</si>
  <si>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</si>
  <si>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</si>
  <si>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</si>
  <si>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</si>
  <si>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</si>
  <si>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</si>
  <si>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</si>
  <si>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</si>
  <si>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</si>
  <si>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</si>
  <si>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</si>
  <si>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</si>
  <si>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</si>
  <si>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</si>
  <si>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</si>
  <si>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</si>
  <si>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</si>
  <si>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</si>
  <si>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</si>
  <si>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</si>
  <si>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</si>
  <si>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</si>
  <si>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</si>
  <si>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</si>
  <si>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</si>
  <si>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</si>
  <si>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</si>
  <si>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</si>
  <si>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</si>
  <si>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</si>
  <si>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</si>
  <si>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</si>
  <si>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</si>
  <si>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</si>
  <si>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</si>
  <si>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</si>
  <si>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</si>
  <si>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</si>
  <si>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</si>
  <si>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</si>
  <si>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</si>
  <si>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</si>
  <si>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</si>
  <si>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</si>
  <si>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</si>
  <si>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</si>
  <si>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</si>
  <si>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</si>
  <si>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</si>
  <si>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</si>
  <si>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</si>
  <si>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</si>
  <si>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</si>
  <si>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</si>
  <si>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</si>
  <si>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</si>
  <si>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</si>
  <si>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</si>
  <si>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</si>
  <si>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</si>
  <si>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</si>
  <si>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</si>
  <si>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</si>
  <si>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</si>
  <si>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</si>
  <si>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</si>
  <si>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</si>
  <si>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</si>
  <si>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</si>
  <si>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</si>
  <si>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</si>
  <si>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</si>
  <si>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</si>
  <si>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</si>
  <si>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</si>
  <si>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</si>
  <si>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</si>
  <si>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</si>
  <si>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</si>
  <si>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</si>
  <si>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</si>
  <si>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</si>
  <si>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</si>
  <si>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</si>
  <si>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</si>
  <si>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</si>
  <si>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</si>
  <si>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</si>
  <si>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</si>
  <si>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</si>
  <si>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</si>
  <si>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</si>
  <si>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</si>
  <si>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</si>
  <si>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</si>
  <si>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</si>
  <si>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</si>
  <si>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</si>
  <si>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</si>
  <si>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</si>
  <si>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</si>
  <si>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</si>
  <si>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</si>
  <si>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</si>
  <si>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</si>
  <si>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</si>
  <si>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</si>
  <si>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</si>
  <si>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</si>
  <si>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</si>
  <si>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</si>
  <si>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</si>
  <si>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</si>
  <si>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</si>
  <si>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</si>
  <si>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</si>
  <si>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</si>
  <si>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</si>
  <si>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</si>
  <si>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</si>
  <si>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</si>
  <si>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</si>
  <si>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</si>
  <si>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</si>
  <si>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</si>
  <si>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</si>
  <si>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</si>
  <si>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</si>
  <si>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</si>
  <si>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</si>
  <si>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</si>
  <si>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</si>
  <si>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</si>
  <si>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</si>
  <si>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</si>
  <si>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</si>
  <si>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</si>
  <si>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</si>
  <si>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</si>
  <si>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</si>
  <si>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</si>
  <si>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</si>
  <si>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</si>
  <si>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</si>
  <si>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</si>
  <si>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</si>
  <si>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</si>
  <si>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</si>
  <si>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</si>
  <si>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</si>
  <si>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</si>
  <si>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</si>
  <si>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</si>
  <si>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</si>
  <si>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</si>
  <si>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</si>
  <si>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</si>
  <si>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</si>
  <si>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</si>
  <si>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</si>
  <si>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</si>
  <si>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</si>
  <si>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</si>
  <si>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</si>
  <si>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</si>
  <si>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</si>
  <si>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</si>
  <si>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</si>
  <si>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</si>
  <si>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</si>
  <si>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</si>
  <si>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</si>
  <si>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</si>
  <si>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</si>
  <si>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</si>
  <si>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</si>
  <si>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</si>
  <si>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</si>
  <si>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</si>
  <si>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</si>
  <si>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</si>
  <si>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</si>
  <si>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</si>
  <si>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</si>
  <si>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</si>
  <si>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</si>
  <si>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</si>
  <si>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</si>
  <si>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</si>
  <si>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</si>
  <si>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</si>
  <si>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</si>
  <si>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</si>
  <si>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</si>
  <si>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</si>
  <si>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</si>
  <si>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</si>
  <si>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</si>
  <si>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</si>
  <si>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</si>
  <si>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</si>
  <si>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</si>
  <si>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</si>
  <si>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</si>
  <si>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</si>
  <si>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</si>
  <si>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</si>
  <si>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</si>
  <si>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</si>
  <si>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</si>
  <si>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</si>
  <si>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</si>
  <si>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</si>
  <si>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</si>
  <si>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</si>
  <si>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</si>
  <si>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</si>
  <si>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</si>
  <si>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</si>
  <si>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</si>
  <si>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</si>
  <si>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</si>
  <si>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</si>
  <si>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</si>
  <si>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</si>
  <si>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Porcupine Prairie Releve 2</t>
  </si>
  <si>
    <t>H1-3i</t>
  </si>
  <si>
    <t>D2-3r, C1-3a</t>
  </si>
  <si>
    <t>G1-3p</t>
  </si>
  <si>
    <t>Equisetum hyemal</t>
  </si>
  <si>
    <t>LHPP22021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</si>
</sst>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43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4" fillId="0" borderId="25" xfId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26" xfId="1" applyFont="1" applyBorder="1" applyAlignment="1">
      <alignment horizontal="left"/>
    </xf>
    <xf numFmtId="0" fontId="8" fillId="0" borderId="25" xfId="1" applyBorder="1" applyAlignment="1">
      <alignment horizontal="center"/>
    </xf>
    <xf numFmtId="0" fontId="8" fillId="0" borderId="26" xfId="1" applyBorder="1" applyAlignment="1">
      <alignment horizontal="center"/>
    </xf>
    <xf numFmtId="0" fontId="4" fillId="0" borderId="25" xfId="1" applyFont="1" applyBorder="1"/>
    <xf numFmtId="0" fontId="8" fillId="0" borderId="33" xfId="1" applyBorder="1" applyAlignment="1">
      <alignment horizontal="center"/>
    </xf>
    <xf numFmtId="0" fontId="8" fillId="0" borderId="25" xfId="1" applyBorder="1" applyAlignment="1">
      <alignment horizontal="left"/>
    </xf>
    <xf numFmtId="0" fontId="4" fillId="0" borderId="25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3" fillId="0" borderId="10" xfId="0" applyFont="1" applyBorder="1" applyAlignment="1">
      <alignment horizontal="center"/>
    </xf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11" sqref="B11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29" t="s">
        <v>57</v>
      </c>
      <c r="B2" s="129"/>
      <c r="C2" s="129"/>
      <c r="D2" s="129"/>
      <c r="E2" s="129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 t="s">
        <v>5439</v>
      </c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>
        <v>42976</v>
      </c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1" t="s">
        <v>5401</v>
      </c>
      <c r="B22" s="131"/>
      <c r="C22" s="131"/>
      <c r="D22" s="131"/>
      <c r="E22" s="131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30" t="s">
        <v>5402</v>
      </c>
      <c r="B24" s="130"/>
      <c r="C24" s="130"/>
      <c r="D24" s="130"/>
      <c r="E24" s="130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30" t="s">
        <v>61</v>
      </c>
      <c r="B39" s="130"/>
      <c r="C39" s="130"/>
      <c r="D39" s="130"/>
      <c r="E39" s="130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30" t="s">
        <v>62</v>
      </c>
      <c r="B45" s="130"/>
      <c r="C45" s="130"/>
      <c r="D45" s="130"/>
      <c r="E45" s="130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25" t="s">
        <v>43</v>
      </c>
      <c r="B93" s="126"/>
      <c r="C93" s="128"/>
      <c r="D93" s="132" t="s">
        <v>44</v>
      </c>
      <c r="E93" s="127"/>
    </row>
    <row r="94" spans="1:5" x14ac:dyDescent="0.2">
      <c r="A94" s="73" t="s">
        <v>23</v>
      </c>
      <c r="B94" s="123" t="s">
        <v>30</v>
      </c>
      <c r="C94" s="124"/>
      <c r="D94" s="3" t="s">
        <v>46</v>
      </c>
      <c r="E94" s="9">
        <v>8</v>
      </c>
    </row>
    <row r="95" spans="1:5" x14ac:dyDescent="0.2">
      <c r="A95" s="73" t="s">
        <v>24</v>
      </c>
      <c r="B95" s="119" t="s">
        <v>31</v>
      </c>
      <c r="C95" s="120"/>
      <c r="D95" s="3" t="s">
        <v>47</v>
      </c>
      <c r="E95" s="9">
        <v>7</v>
      </c>
    </row>
    <row r="96" spans="1:5" x14ac:dyDescent="0.2">
      <c r="A96" s="73" t="s">
        <v>3</v>
      </c>
      <c r="B96" s="119" t="s">
        <v>32</v>
      </c>
      <c r="C96" s="120"/>
      <c r="D96" s="3" t="s">
        <v>48</v>
      </c>
      <c r="E96" s="9">
        <v>6</v>
      </c>
    </row>
    <row r="97" spans="1:5" x14ac:dyDescent="0.2">
      <c r="A97" s="73" t="s">
        <v>25</v>
      </c>
      <c r="B97" s="119" t="s">
        <v>33</v>
      </c>
      <c r="C97" s="120"/>
      <c r="D97" s="3" t="s">
        <v>49</v>
      </c>
      <c r="E97" s="9">
        <v>5</v>
      </c>
    </row>
    <row r="98" spans="1:5" x14ac:dyDescent="0.2">
      <c r="A98" s="73" t="s">
        <v>26</v>
      </c>
      <c r="B98" s="119" t="s">
        <v>34</v>
      </c>
      <c r="C98" s="120"/>
      <c r="D98" s="3" t="s">
        <v>50</v>
      </c>
      <c r="E98" s="9">
        <v>4</v>
      </c>
    </row>
    <row r="99" spans="1:5" x14ac:dyDescent="0.2">
      <c r="A99" s="73" t="s">
        <v>27</v>
      </c>
      <c r="B99" s="119" t="s">
        <v>35</v>
      </c>
      <c r="C99" s="120"/>
      <c r="D99" s="3" t="s">
        <v>4</v>
      </c>
      <c r="E99" s="9">
        <v>3</v>
      </c>
    </row>
    <row r="100" spans="1:5" x14ac:dyDescent="0.2">
      <c r="A100" s="73" t="s">
        <v>2</v>
      </c>
      <c r="B100" s="119" t="s">
        <v>36</v>
      </c>
      <c r="C100" s="120"/>
      <c r="D100" s="3" t="s">
        <v>5</v>
      </c>
      <c r="E100" s="9">
        <v>2</v>
      </c>
    </row>
    <row r="101" spans="1:5" x14ac:dyDescent="0.2">
      <c r="A101" s="73" t="s">
        <v>28</v>
      </c>
      <c r="B101" s="119" t="s">
        <v>37</v>
      </c>
      <c r="C101" s="120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21" t="s">
        <v>38</v>
      </c>
      <c r="C102" s="122"/>
      <c r="D102" s="5"/>
      <c r="E102" s="8"/>
    </row>
    <row r="103" spans="1:5" ht="13.2" thickBot="1" x14ac:dyDescent="0.25">
      <c r="A103" s="125" t="s">
        <v>68</v>
      </c>
      <c r="B103" s="126"/>
      <c r="C103" s="128"/>
      <c r="D103" s="132" t="s">
        <v>45</v>
      </c>
      <c r="E103" s="127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25" t="s">
        <v>21</v>
      </c>
      <c r="B112" s="126"/>
      <c r="C112" s="127"/>
    </row>
    <row r="113" spans="1:3" x14ac:dyDescent="0.2">
      <c r="A113" s="73">
        <v>1</v>
      </c>
      <c r="B113" s="123" t="s">
        <v>40</v>
      </c>
      <c r="C113" s="124"/>
    </row>
    <row r="114" spans="1:3" x14ac:dyDescent="0.2">
      <c r="A114" s="73" t="s">
        <v>39</v>
      </c>
      <c r="B114" s="119" t="s">
        <v>41</v>
      </c>
      <c r="C114" s="120"/>
    </row>
    <row r="115" spans="1:3" x14ac:dyDescent="0.2">
      <c r="A115" s="74" t="s">
        <v>15</v>
      </c>
      <c r="B115" s="117" t="s">
        <v>42</v>
      </c>
      <c r="C115" s="118"/>
    </row>
    <row r="150" ht="12" customHeight="1" x14ac:dyDescent="0.2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29" t="s">
        <v>127</v>
      </c>
      <c r="B1" s="129"/>
      <c r="C1" s="129"/>
      <c r="D1" s="129"/>
      <c r="E1" s="129"/>
      <c r="F1" s="129"/>
      <c r="G1" s="129"/>
      <c r="H1" s="14"/>
    </row>
    <row r="2" spans="1:14" x14ac:dyDescent="0.2">
      <c r="A2" s="135" t="s">
        <v>138</v>
      </c>
      <c r="B2" s="135"/>
      <c r="C2" s="15"/>
      <c r="D2" s="15"/>
      <c r="E2" s="15"/>
      <c r="F2" s="15"/>
      <c r="G2" s="15"/>
      <c r="H2" s="15"/>
    </row>
    <row r="3" spans="1:14" x14ac:dyDescent="0.2">
      <c r="A3" s="136" t="s">
        <v>52</v>
      </c>
      <c r="B3" s="136"/>
      <c r="C3" s="15"/>
      <c r="D3" s="15"/>
      <c r="E3" s="15"/>
      <c r="F3" s="15"/>
      <c r="G3" s="15"/>
      <c r="H3" s="15"/>
    </row>
    <row r="4" spans="1:14" x14ac:dyDescent="0.2">
      <c r="A4" s="136" t="s">
        <v>55</v>
      </c>
      <c r="B4" s="136"/>
      <c r="C4" s="15"/>
      <c r="D4" s="15"/>
      <c r="E4" s="15"/>
      <c r="F4" s="15"/>
      <c r="G4" s="15"/>
      <c r="H4" s="15"/>
    </row>
    <row r="5" spans="1:14" x14ac:dyDescent="0.2">
      <c r="A5" s="136" t="s">
        <v>51</v>
      </c>
      <c r="B5" s="136"/>
      <c r="C5" s="15"/>
      <c r="D5" s="15"/>
      <c r="E5" s="15"/>
      <c r="F5" s="15"/>
      <c r="G5" s="15"/>
      <c r="H5" s="15"/>
    </row>
    <row r="6" spans="1:14" x14ac:dyDescent="0.2">
      <c r="A6" s="133" t="s">
        <v>128</v>
      </c>
      <c r="B6" s="133"/>
    </row>
    <row r="7" spans="1:14" x14ac:dyDescent="0.2">
      <c r="A7" s="133" t="s">
        <v>129</v>
      </c>
      <c r="B7" s="133"/>
      <c r="C7" s="134"/>
      <c r="D7" s="134"/>
      <c r="E7" s="134"/>
      <c r="F7" s="134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2051" zoomScale="70" zoomScaleNormal="70" workbookViewId="0">
      <selection activeCell="A2078" sqref="A2078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51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7" t="s">
        <v>127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5" x14ac:dyDescent="0.2">
      <c r="A2" s="89" t="s">
        <v>138</v>
      </c>
      <c r="B2" s="47"/>
      <c r="C2" s="46" t="s">
        <v>5444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8"/>
      <c r="C7" s="138"/>
      <c r="D7" s="138"/>
      <c r="E7" s="138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5441</v>
      </c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3851</v>
      </c>
      <c r="B12" s="44" t="str">
        <f>IF(LEN(VLOOKUP(A12,'Species List'!$A:$G,2,FALSE))=0,"",VLOOKUP(A12,'Species List'!$A:$G,2,FALSE))</f>
        <v/>
      </c>
      <c r="C12" s="44">
        <f>IF(LEN(VLOOKUP(A12,'Species List'!$A:$G,3,FALSE))=0,"",VLOOKUP(A12,'Species List'!$A:$G,3,FALSE))</f>
        <v>3</v>
      </c>
      <c r="D12" s="103">
        <f>VALUE(C12)</f>
        <v>3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FACU</v>
      </c>
      <c r="H12" s="44">
        <f>VLOOKUP(A12,'Species List'!$A:$G,7,FALSE)</f>
        <v>0</v>
      </c>
      <c r="J12" s="111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 t="shared" ref="N12:N75" si="0">L12/$L$151</f>
        <v>6.25E-2</v>
      </c>
      <c r="O12" s="88">
        <f>D12*N12</f>
        <v>0.1875</v>
      </c>
    </row>
    <row r="13" spans="1:15" x14ac:dyDescent="0.2">
      <c r="A13" s="108" t="s">
        <v>3838</v>
      </c>
      <c r="B13" s="44" t="str">
        <f>IF(LEN(VLOOKUP(A13,'Species List'!$A:$G,2,FALSE))=0,"",VLOOKUP(A13,'Species List'!$A:$G,2,FALSE))</f>
        <v>Allegheny blackberry</v>
      </c>
      <c r="C13" s="44">
        <f>IF(LEN(VLOOKUP(A13,'Species List'!$A:$G,3,FALSE))=0,"",VLOOKUP(A13,'Species List'!$A:$G,3,FALSE))</f>
        <v>2</v>
      </c>
      <c r="D13" s="103">
        <f t="shared" ref="D13:D76" si="1">VALUE(C13)</f>
        <v>2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[FACU+]</v>
      </c>
      <c r="H13" s="44">
        <f>VLOOKUP(A13,'Species List'!$A:$G,7,FALSE)</f>
        <v>0</v>
      </c>
      <c r="J13" s="111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2">VALUE(L13)</f>
        <v>3</v>
      </c>
      <c r="N13" s="88">
        <f t="shared" si="0"/>
        <v>6.25E-2</v>
      </c>
      <c r="O13" s="102">
        <f t="shared" ref="O13:O76" si="3">D13*N13</f>
        <v>0.125</v>
      </c>
    </row>
    <row r="14" spans="1:15" x14ac:dyDescent="0.2">
      <c r="A14" s="109" t="s">
        <v>5074</v>
      </c>
      <c r="B14" s="44" t="str">
        <f>IF(LEN(VLOOKUP(A14,'Species List'!$A:$G,2,FALSE))=0,"",VLOOKUP(A14,'Species List'!$A:$G,2,FALSE))</f>
        <v/>
      </c>
      <c r="C14" s="44">
        <v>0</v>
      </c>
      <c r="D14" s="103">
        <f t="shared" si="1"/>
        <v>0</v>
      </c>
      <c r="E14" s="44" t="str">
        <f>IF(LEN(VLOOKUP(A14,'Species List'!$A:$G,4,FALSE))=0,"",VLOOKUP(A14,'Species List'!$A:$G,4,FALSE))</f>
        <v/>
      </c>
      <c r="F14" s="44" t="s">
        <v>152</v>
      </c>
      <c r="G14" s="44" t="str">
        <f>IF(LEN(VLOOKUP(A14,'Species List'!$A:$G,6,FALSE))=0,"",VLOOKUP(A14,'Species List'!$A:$G,6,FALSE))</f>
        <v/>
      </c>
      <c r="H14" s="44">
        <f>VLOOKUP(A14,'Species List'!$A:$G,7,FALSE)</f>
        <v>0</v>
      </c>
      <c r="J14" s="111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2"/>
        <v>3</v>
      </c>
      <c r="N14" s="88">
        <f t="shared" si="0"/>
        <v>6.25E-2</v>
      </c>
      <c r="O14" s="102">
        <f t="shared" si="3"/>
        <v>0</v>
      </c>
    </row>
    <row r="15" spans="1:15" x14ac:dyDescent="0.2">
      <c r="A15" s="108" t="s">
        <v>3764</v>
      </c>
      <c r="B15" s="44" t="str">
        <f>IF(LEN(VLOOKUP(A15,'Species List'!$A:$G,2,FALSE))=0,"",VLOOKUP(A15,'Species List'!$A:$G,2,FALSE))</f>
        <v>smooth sumac</v>
      </c>
      <c r="C15" s="44">
        <f>IF(LEN(VLOOKUP(A15,'Species List'!$A:$G,3,FALSE))=0,"",VLOOKUP(A15,'Species List'!$A:$G,3,FALSE))</f>
        <v>2</v>
      </c>
      <c r="D15" s="103">
        <f t="shared" si="1"/>
        <v>2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11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88">
        <f t="shared" si="0"/>
        <v>6.25E-2</v>
      </c>
      <c r="O15" s="102">
        <f t="shared" si="3"/>
        <v>0.125</v>
      </c>
    </row>
    <row r="16" spans="1:15" x14ac:dyDescent="0.2">
      <c r="A16" s="108" t="s">
        <v>3757</v>
      </c>
      <c r="B16" s="44" t="str">
        <f>IF(LEN(VLOOKUP(A16,'Species List'!$A:$G,2,FALSE))=0,"",VLOOKUP(A16,'Species List'!$A:$G,2,FALSE))</f>
        <v>common buckthorn</v>
      </c>
      <c r="C16" s="44">
        <f>IF(LEN(VLOOKUP(A16,'Species List'!$A:$G,3,FALSE))=0,"",VLOOKUP(A16,'Species List'!$A:$G,3,FALSE))</f>
        <v>0</v>
      </c>
      <c r="D16" s="103">
        <f t="shared" si="1"/>
        <v>0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Introduced</v>
      </c>
      <c r="G16" s="44" t="str">
        <f>IF(LEN(VLOOKUP(A16,'Species List'!$A:$G,6,FALSE))=0,"",VLOOKUP(A16,'Species List'!$A:$G,6,FALSE))</f>
        <v>FACU</v>
      </c>
      <c r="H16" s="44">
        <f>VLOOKUP(A16,'Species List'!$A:$G,7,FALSE)</f>
        <v>0</v>
      </c>
      <c r="J16" s="112" t="s">
        <v>5420</v>
      </c>
      <c r="K16" s="47" t="str">
        <f>VLOOKUP(J16,'Species List'!$H$1:$J$9,2,FALSE)</f>
        <v>&gt;0-1%</v>
      </c>
      <c r="L16" s="47">
        <f>VLOOKUP(K16,'Species List'!$I$1:$N$8,2,FALSE)</f>
        <v>0.5</v>
      </c>
      <c r="M16" s="104">
        <f t="shared" si="2"/>
        <v>0.5</v>
      </c>
      <c r="N16" s="88">
        <f t="shared" si="0"/>
        <v>1.0416666666666666E-2</v>
      </c>
      <c r="O16" s="102">
        <f t="shared" si="3"/>
        <v>0</v>
      </c>
    </row>
    <row r="17" spans="1:15" x14ac:dyDescent="0.2">
      <c r="A17" s="108" t="s">
        <v>159</v>
      </c>
      <c r="B17" s="44" t="str">
        <f>IF(LEN(VLOOKUP(A17,'Species List'!$A:$G,2,FALSE))=0,"",VLOOKUP(A17,'Species List'!$A:$G,2,FALSE))</f>
        <v>amur maple</v>
      </c>
      <c r="C17" s="44">
        <f>IF(LEN(VLOOKUP(A17,'Species List'!$A:$G,3,FALSE))=0,"",VLOOKUP(A17,'Species List'!$A:$G,3,FALSE))</f>
        <v>0</v>
      </c>
      <c r="D17" s="103">
        <f t="shared" si="1"/>
        <v>0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Introduced</v>
      </c>
      <c r="G17" s="44" t="str">
        <f>IF(LEN(VLOOKUP(A17,'Species List'!$A:$G,6,FALSE))=0,"",VLOOKUP(A17,'Species List'!$A:$G,6,FALSE))</f>
        <v/>
      </c>
      <c r="H17" s="44">
        <f>VLOOKUP(A17,'Species List'!$A:$G,7,FALSE)</f>
        <v>0</v>
      </c>
      <c r="J17" s="112" t="s">
        <v>5420</v>
      </c>
      <c r="K17" s="47" t="str">
        <f>VLOOKUP(J17,'Species List'!$H$1:$J$9,2,FALSE)</f>
        <v>&gt;0-1%</v>
      </c>
      <c r="L17" s="47">
        <f>VLOOKUP(K17,'Species List'!$I$1:$N$8,2,FALSE)</f>
        <v>0.5</v>
      </c>
      <c r="M17" s="104">
        <f t="shared" si="2"/>
        <v>0.5</v>
      </c>
      <c r="N17" s="88">
        <f t="shared" si="0"/>
        <v>1.0416666666666666E-2</v>
      </c>
      <c r="O17" s="102">
        <f t="shared" si="3"/>
        <v>0</v>
      </c>
    </row>
    <row r="18" spans="1:15" x14ac:dyDescent="0.2">
      <c r="A18" s="108" t="s">
        <v>3691</v>
      </c>
      <c r="B18" s="44" t="str">
        <f>IF(LEN(VLOOKUP(A18,'Species List'!$A:$G,2,FALSE))=0,"",VLOOKUP(A18,'Species List'!$A:$G,2,FALSE))</f>
        <v>northern pin oak</v>
      </c>
      <c r="C18" s="44">
        <f>IF(LEN(VLOOKUP(A18,'Species List'!$A:$G,3,FALSE))=0,"",VLOOKUP(A18,'Species List'!$A:$G,3,FALSE))</f>
        <v>5</v>
      </c>
      <c r="D18" s="103">
        <f t="shared" si="1"/>
        <v>5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/>
      </c>
      <c r="H18" s="44">
        <f>VLOOKUP(A18,'Species List'!$A:$G,7,FALSE)</f>
        <v>0</v>
      </c>
      <c r="J18" s="111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4">
        <f t="shared" si="2"/>
        <v>15</v>
      </c>
      <c r="N18" s="88">
        <f t="shared" si="0"/>
        <v>0.3125</v>
      </c>
      <c r="O18" s="102">
        <f t="shared" si="3"/>
        <v>1.5625</v>
      </c>
    </row>
    <row r="19" spans="1:15" x14ac:dyDescent="0.2">
      <c r="A19" s="108" t="s">
        <v>3656</v>
      </c>
      <c r="B19" s="44" t="str">
        <f>IF(LEN(VLOOKUP(A19,'Species List'!$A:$G,2,FALSE))=0,"",VLOOKUP(A19,'Species List'!$A:$G,2,FALSE))</f>
        <v>black cherry</v>
      </c>
      <c r="C19" s="44">
        <f>IF(LEN(VLOOKUP(A19,'Species List'!$A:$G,3,FALSE))=0,"",VLOOKUP(A19,'Species List'!$A:$G,3,FALSE))</f>
        <v>4</v>
      </c>
      <c r="D19" s="103">
        <f t="shared" si="1"/>
        <v>4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[FACU]</v>
      </c>
      <c r="H19" s="44">
        <f>VLOOKUP(A19,'Species List'!$A:$G,7,FALSE)</f>
        <v>0</v>
      </c>
      <c r="J19" s="111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88">
        <f t="shared" si="0"/>
        <v>6.25E-2</v>
      </c>
      <c r="O19" s="102">
        <f t="shared" si="3"/>
        <v>0.25</v>
      </c>
    </row>
    <row r="20" spans="1:15" x14ac:dyDescent="0.2">
      <c r="A20" s="110" t="s">
        <v>4600</v>
      </c>
      <c r="B20" s="44" t="str">
        <f>IF(LEN(VLOOKUP(A20,'Species List'!$A:$G,2,FALSE))=0,"",VLOOKUP(A20,'Species List'!$A:$G,2,FALSE))</f>
        <v>Siberian elm</v>
      </c>
      <c r="C20" s="44">
        <v>0</v>
      </c>
      <c r="D20" s="103">
        <f t="shared" si="1"/>
        <v>0</v>
      </c>
      <c r="E20" s="44" t="str">
        <f>IF(LEN(VLOOKUP(A20,'Species List'!$A:$G,4,FALSE))=0,"",VLOOKUP(A20,'Species List'!$A:$G,4,FALSE))</f>
        <v>D</v>
      </c>
      <c r="F20" s="44" t="s">
        <v>152</v>
      </c>
      <c r="G20" s="44" t="str">
        <f>IF(LEN(VLOOKUP(A20,'Species List'!$A:$G,6,FALSE))=0,"",VLOOKUP(A20,'Species List'!$A:$G,6,FALSE))</f>
        <v>UPL</v>
      </c>
      <c r="H20" s="44">
        <f>VLOOKUP(A20,'Species List'!$A:$G,7,FALSE)</f>
        <v>0</v>
      </c>
      <c r="J20" s="111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2"/>
        <v>3</v>
      </c>
      <c r="N20" s="88">
        <f t="shared" si="0"/>
        <v>6.25E-2</v>
      </c>
      <c r="O20" s="102">
        <f t="shared" si="3"/>
        <v>0</v>
      </c>
    </row>
    <row r="21" spans="1:15" x14ac:dyDescent="0.2">
      <c r="A21" s="110" t="s">
        <v>5090</v>
      </c>
      <c r="B21" s="44" t="str">
        <f>IF(LEN(VLOOKUP(A21,'Species List'!$A:$G,2,FALSE))=0,"",VLOOKUP(A21,'Species List'!$A:$G,2,FALSE))</f>
        <v/>
      </c>
      <c r="C21" s="44">
        <v>0</v>
      </c>
      <c r="D21" s="103">
        <f t="shared" si="1"/>
        <v>0</v>
      </c>
      <c r="E21" s="44" t="str">
        <f>IF(LEN(VLOOKUP(A21,'Species List'!$A:$G,4,FALSE))=0,"",VLOOKUP(A21,'Species List'!$A:$G,4,FALSE))</f>
        <v/>
      </c>
      <c r="F21" s="44" t="s">
        <v>152</v>
      </c>
      <c r="G21" s="44" t="str">
        <f>IF(LEN(VLOOKUP(A21,'Species List'!$A:$G,6,FALSE))=0,"",VLOOKUP(A21,'Species List'!$A:$G,6,FALSE))</f>
        <v/>
      </c>
      <c r="H21" s="44">
        <f>VLOOKUP(A21,'Species List'!$A:$G,7,FALSE)</f>
        <v>0</v>
      </c>
      <c r="J21" s="111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2"/>
        <v>3</v>
      </c>
      <c r="N21" s="88">
        <f t="shared" si="0"/>
        <v>6.25E-2</v>
      </c>
      <c r="O21" s="102">
        <f t="shared" si="3"/>
        <v>0</v>
      </c>
    </row>
    <row r="22" spans="1:15" x14ac:dyDescent="0.2">
      <c r="A22" s="108" t="s">
        <v>3858</v>
      </c>
      <c r="B22" s="44" t="str">
        <f>IF(LEN(VLOOKUP(A22,'Species List'!$A:$G,2,FALSE))=0,"",VLOOKUP(A22,'Species List'!$A:$G,2,FALSE))</f>
        <v>black raspberry</v>
      </c>
      <c r="C22" s="44">
        <f>IF(LEN(VLOOKUP(A22,'Species List'!$A:$G,3,FALSE))=0,"",VLOOKUP(A22,'Species List'!$A:$G,3,FALSE))</f>
        <v>2</v>
      </c>
      <c r="D22" s="103">
        <f t="shared" si="1"/>
        <v>2</v>
      </c>
      <c r="E22" s="44" t="str">
        <f>IF(LEN(VLOOKUP(A22,'Species List'!$A:$G,4,FALSE))=0,"",VLOOKUP(A22,'Species List'!$A:$G,4,FALSE))</f>
        <v>D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/>
      </c>
      <c r="H22" s="44">
        <f>VLOOKUP(A22,'Species List'!$A:$G,7,FALSE)</f>
        <v>0</v>
      </c>
      <c r="J22" s="111" t="s">
        <v>5420</v>
      </c>
      <c r="K22" s="47" t="str">
        <f>VLOOKUP(J22,'Species List'!$H$1:$J$9,2,FALSE)</f>
        <v>&gt;0-1%</v>
      </c>
      <c r="L22" s="47">
        <f>VLOOKUP(K22,'Species List'!$I$1:$N$8,2,FALSE)</f>
        <v>0.5</v>
      </c>
      <c r="M22" s="104">
        <f t="shared" si="2"/>
        <v>0.5</v>
      </c>
      <c r="N22" s="88">
        <f t="shared" si="0"/>
        <v>1.0416666666666666E-2</v>
      </c>
      <c r="O22" s="102">
        <f t="shared" si="3"/>
        <v>2.0833333333333332E-2</v>
      </c>
    </row>
    <row r="23" spans="1:15" ht="13.2" x14ac:dyDescent="0.25">
      <c r="A23" s="36" t="s">
        <v>656</v>
      </c>
      <c r="B23" s="44" t="str">
        <f>IF(LEN(VLOOKUP(A23,'Species List'!$A:$G,2,FALSE))=0,"",VLOOKUP(A23,'Species List'!$A:$G,2,FALSE))</f>
        <v>paper birch</v>
      </c>
      <c r="C23" s="44">
        <f>IF(LEN(VLOOKUP(A23,'Species List'!$A:$G,3,FALSE))=0,"",VLOOKUP(A23,'Species List'!$A:$G,3,FALSE))</f>
        <v>3</v>
      </c>
      <c r="D23" s="103">
        <f t="shared" si="1"/>
        <v>3</v>
      </c>
      <c r="E23" s="44" t="str">
        <f>IF(LEN(VLOOKUP(A23,'Species List'!$A:$G,4,FALSE))=0,"",VLOOKUP(A23,'Species List'!$A:$G,4,FALSE))</f>
        <v>D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[FACU+]</v>
      </c>
      <c r="H23" s="44">
        <f>VLOOKUP(A23,'Species List'!$A:$G,7,FALSE)</f>
        <v>0</v>
      </c>
      <c r="I23" s="88" t="s">
        <v>5389</v>
      </c>
      <c r="J23" s="111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2"/>
        <v>3</v>
      </c>
      <c r="N23" s="88">
        <f t="shared" si="0"/>
        <v>6.25E-2</v>
      </c>
      <c r="O23" s="102">
        <f t="shared" si="3"/>
        <v>0.1875</v>
      </c>
    </row>
    <row r="24" spans="1:15" x14ac:dyDescent="0.2">
      <c r="A24" s="108" t="s">
        <v>2139</v>
      </c>
      <c r="B24" s="44" t="str">
        <f>IF(LEN(VLOOKUP(A24,'Species List'!$A:$G,2,FALSE))=0,"",VLOOKUP(A24,'Species List'!$A:$G,2,FALSE))</f>
        <v/>
      </c>
      <c r="C24" s="44">
        <f>IF(LEN(VLOOKUP(A24,'Species List'!$A:$G,3,FALSE))=0,"",VLOOKUP(A24,'Species List'!$A:$G,3,FALSE))</f>
        <v>0</v>
      </c>
      <c r="D24" s="103">
        <f t="shared" si="1"/>
        <v>0</v>
      </c>
      <c r="E24" s="44" t="str">
        <f>IF(LEN(VLOOKUP(A24,'Species List'!$A:$G,4,FALSE))=0,"",VLOOKUP(A24,'Species List'!$A:$G,4,FALSE))</f>
        <v>D</v>
      </c>
      <c r="F24" s="44" t="str">
        <f>IF(LEN(VLOOKUP(A24,'Species List'!$A:$G,5,FALSE))=0,"",VLOOKUP(A24,'Species List'!$A:$G,5,FALSE))</f>
        <v>Introduced</v>
      </c>
      <c r="G24" s="44" t="str">
        <f>IF(LEN(VLOOKUP(A24,'Species List'!$A:$G,6,FALSE))=0,"",VLOOKUP(A24,'Species List'!$A:$G,6,FALSE))</f>
        <v>[FAC+]</v>
      </c>
      <c r="H24" s="44">
        <f>VLOOKUP(A24,'Species List'!$A:$G,7,FALSE)</f>
        <v>0</v>
      </c>
      <c r="J24" s="111" t="s">
        <v>5420</v>
      </c>
      <c r="K24" s="47" t="str">
        <f>VLOOKUP(J24,'Species List'!$H$1:$J$9,2,FALSE)</f>
        <v>&gt;0-1%</v>
      </c>
      <c r="L24" s="47">
        <f>VLOOKUP(K24,'Species List'!$I$1:$N$8,2,FALSE)</f>
        <v>0.5</v>
      </c>
      <c r="M24" s="104">
        <f t="shared" si="2"/>
        <v>0.5</v>
      </c>
      <c r="N24" s="88">
        <f t="shared" si="0"/>
        <v>1.0416666666666666E-2</v>
      </c>
      <c r="O24" s="102">
        <f t="shared" si="3"/>
        <v>0</v>
      </c>
    </row>
    <row r="25" spans="1:15" x14ac:dyDescent="0.2">
      <c r="A25" s="108" t="s">
        <v>3694</v>
      </c>
      <c r="B25" s="44" t="str">
        <f>IF(LEN(VLOOKUP(A25,'Species List'!$A:$G,2,FALSE))=0,"",VLOOKUP(A25,'Species List'!$A:$G,2,FALSE))</f>
        <v>bur oak</v>
      </c>
      <c r="C25" s="44">
        <f>IF(LEN(VLOOKUP(A25,'Species List'!$A:$G,3,FALSE))=0,"",VLOOKUP(A25,'Species List'!$A:$G,3,FALSE))</f>
        <v>5</v>
      </c>
      <c r="D25" s="103">
        <f t="shared" si="1"/>
        <v>5</v>
      </c>
      <c r="E25" s="44" t="str">
        <f>IF(LEN(VLOOKUP(A25,'Species List'!$A:$G,4,FALSE))=0,"",VLOOKUP(A25,'Species List'!$A:$G,4,FALSE))</f>
        <v>D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[FAC-]</v>
      </c>
      <c r="H25" s="44">
        <f>VLOOKUP(A25,'Species List'!$A:$G,7,FALSE)</f>
        <v>0</v>
      </c>
      <c r="J25" s="111" t="s">
        <v>5420</v>
      </c>
      <c r="K25" s="47" t="str">
        <f>VLOOKUP(J25,'Species List'!$H$1:$J$9,2,FALSE)</f>
        <v>&gt;0-1%</v>
      </c>
      <c r="L25" s="47">
        <f>VLOOKUP(K25,'Species List'!$I$1:$N$8,2,FALSE)</f>
        <v>0.5</v>
      </c>
      <c r="M25" s="104">
        <f t="shared" si="2"/>
        <v>0.5</v>
      </c>
      <c r="N25" s="88">
        <f t="shared" si="0"/>
        <v>1.0416666666666666E-2</v>
      </c>
      <c r="O25" s="102">
        <f t="shared" si="3"/>
        <v>5.2083333333333329E-2</v>
      </c>
    </row>
    <row r="26" spans="1:15" x14ac:dyDescent="0.2">
      <c r="A26" s="108" t="s">
        <v>3538</v>
      </c>
      <c r="B26" s="44" t="str">
        <f>IF(LEN(VLOOKUP(A26,'Species List'!$A:$G,2,FALSE))=0,"",VLOOKUP(A26,'Species List'!$A:$G,2,FALSE))</f>
        <v>quaking aspen</v>
      </c>
      <c r="C26" s="44">
        <f>IF(LEN(VLOOKUP(A26,'Species List'!$A:$G,3,FALSE))=0,"",VLOOKUP(A26,'Species List'!$A:$G,3,FALSE))</f>
        <v>2</v>
      </c>
      <c r="D26" s="103">
        <f t="shared" si="1"/>
        <v>2</v>
      </c>
      <c r="E26" s="44" t="str">
        <f>IF(LEN(VLOOKUP(A26,'Species List'!$A:$G,4,FALSE))=0,"",VLOOKUP(A26,'Species List'!$A:$G,4,FALSE))</f>
        <v>D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[FAC]</v>
      </c>
      <c r="H26" s="44">
        <f>VLOOKUP(A26,'Species List'!$A:$G,7,FALSE)</f>
        <v>0</v>
      </c>
      <c r="J26" s="111" t="s">
        <v>5420</v>
      </c>
      <c r="K26" s="47" t="str">
        <f>VLOOKUP(J26,'Species List'!$H$1:$J$9,2,FALSE)</f>
        <v>&gt;0-1%</v>
      </c>
      <c r="L26" s="47">
        <f>VLOOKUP(K26,'Species List'!$I$1:$N$8,2,FALSE)</f>
        <v>0.5</v>
      </c>
      <c r="M26" s="104">
        <f t="shared" si="2"/>
        <v>0.5</v>
      </c>
      <c r="N26" s="88">
        <f t="shared" si="0"/>
        <v>1.0416666666666666E-2</v>
      </c>
      <c r="O26" s="102">
        <f t="shared" si="3"/>
        <v>2.0833333333333332E-2</v>
      </c>
    </row>
    <row r="27" spans="1:15" x14ac:dyDescent="0.2">
      <c r="A27" s="113" t="s">
        <v>5433</v>
      </c>
      <c r="B27" s="44" t="str">
        <f>IF(LEN(VLOOKUP(A27,'Species List'!$A:$G,2,FALSE))=0,"",VLOOKUP(A27,'Species List'!$A:$G,2,FALSE))</f>
        <v>woodbine</v>
      </c>
      <c r="C27" s="44">
        <f>IF(LEN(VLOOKUP(A27,'Species List'!$A:$G,3,FALSE))=0,"",VLOOKUP(A27,'Species List'!$A:$G,3,FALSE))</f>
        <v>2</v>
      </c>
      <c r="D27" s="103">
        <f t="shared" si="1"/>
        <v>2</v>
      </c>
      <c r="E27" s="44" t="str">
        <f>IF(LEN(VLOOKUP(A27,'Species List'!$A:$G,4,FALSE))=0,"",VLOOKUP(A27,'Species List'!$A:$G,4,FALSE))</f>
        <v>C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FACU</v>
      </c>
      <c r="H27" s="44">
        <f>VLOOKUP(A27,'Species List'!$A:$G,7,FALSE)</f>
        <v>0</v>
      </c>
      <c r="J27" s="115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2"/>
        <v>3</v>
      </c>
      <c r="N27" s="88">
        <f t="shared" si="0"/>
        <v>6.25E-2</v>
      </c>
      <c r="O27" s="102">
        <f t="shared" si="3"/>
        <v>0.125</v>
      </c>
    </row>
    <row r="28" spans="1:15" x14ac:dyDescent="0.2">
      <c r="A28" s="113" t="s">
        <v>4768</v>
      </c>
      <c r="B28" s="44" t="str">
        <f>IF(LEN(VLOOKUP(A28,'Species List'!$A:$G,2,FALSE))=0,"",VLOOKUP(A28,'Species List'!$A:$G,2,FALSE))</f>
        <v>wild grape</v>
      </c>
      <c r="C28" s="44">
        <f>IF(LEN(VLOOKUP(A28,'Species List'!$A:$G,3,FALSE))=0,"",VLOOKUP(A28,'Species List'!$A:$G,3,FALSE))</f>
        <v>2</v>
      </c>
      <c r="D28" s="103">
        <f t="shared" si="1"/>
        <v>2</v>
      </c>
      <c r="E28" s="44" t="str">
        <f>IF(LEN(VLOOKUP(A28,'Species List'!$A:$G,4,FALSE))=0,"",VLOOKUP(A28,'Species List'!$A:$G,4,FALSE))</f>
        <v>C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FACW-</v>
      </c>
      <c r="H28" s="44">
        <f>VLOOKUP(A28,'Species List'!$A:$G,7,FALSE)</f>
        <v>0</v>
      </c>
      <c r="J28" s="115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2"/>
        <v>3</v>
      </c>
      <c r="N28" s="88">
        <f t="shared" si="0"/>
        <v>6.25E-2</v>
      </c>
      <c r="O28" s="102">
        <f t="shared" si="3"/>
        <v>0.125</v>
      </c>
    </row>
    <row r="29" spans="1:15" x14ac:dyDescent="0.2">
      <c r="A29" s="94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1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88" t="e">
        <f t="shared" si="0"/>
        <v>#N/A</v>
      </c>
      <c r="O29" s="102" t="e">
        <f t="shared" si="3"/>
        <v>#N/A</v>
      </c>
    </row>
    <row r="30" spans="1:15" x14ac:dyDescent="0.2">
      <c r="A30" s="94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1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88" t="e">
        <f t="shared" si="0"/>
        <v>#N/A</v>
      </c>
      <c r="O30" s="102" t="e">
        <f t="shared" si="3"/>
        <v>#N/A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1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88" t="e">
        <f t="shared" si="0"/>
        <v>#N/A</v>
      </c>
      <c r="O31" s="102" t="e">
        <f t="shared" si="3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1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88" t="e">
        <f t="shared" si="0"/>
        <v>#N/A</v>
      </c>
      <c r="O32" s="102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1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88" t="e">
        <f t="shared" si="0"/>
        <v>#N/A</v>
      </c>
      <c r="O33" s="102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88" t="e">
        <f t="shared" si="0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si="0"/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0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0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0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0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0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0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0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0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0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0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0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0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0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0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0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0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0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0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0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si="0"/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1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88" t="e">
        <f t="shared" si="0"/>
        <v>#N/A</v>
      </c>
      <c r="O65" s="102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1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88" t="e">
        <f t="shared" si="0"/>
        <v>#N/A</v>
      </c>
      <c r="O66" s="102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1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88" t="e">
        <f t="shared" si="0"/>
        <v>#N/A</v>
      </c>
      <c r="O67" s="102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1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88" t="e">
        <f t="shared" si="0"/>
        <v>#N/A</v>
      </c>
      <c r="O68" s="102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1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88" t="e">
        <f t="shared" si="0"/>
        <v>#N/A</v>
      </c>
      <c r="O69" s="102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1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88" t="e">
        <f t="shared" si="0"/>
        <v>#N/A</v>
      </c>
      <c r="O70" s="102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1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88" t="e">
        <f t="shared" si="0"/>
        <v>#N/A</v>
      </c>
      <c r="O71" s="102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1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88" t="e">
        <f t="shared" si="0"/>
        <v>#N/A</v>
      </c>
      <c r="O72" s="102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1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88" t="e">
        <f t="shared" si="0"/>
        <v>#N/A</v>
      </c>
      <c r="O73" s="102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1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88" t="e">
        <f t="shared" si="0"/>
        <v>#N/A</v>
      </c>
      <c r="O74" s="102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1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88" t="e">
        <f t="shared" si="0"/>
        <v>#N/A</v>
      </c>
      <c r="O75" s="102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1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88" t="e">
        <f t="shared" ref="N76:N139" si="4">L76/$L$151</f>
        <v>#N/A</v>
      </c>
      <c r="O76" s="102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5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6">VALUE(L77)</f>
        <v>#N/A</v>
      </c>
      <c r="N77" s="88" t="e">
        <f t="shared" si="4"/>
        <v>#N/A</v>
      </c>
      <c r="O77" s="102" t="e">
        <f t="shared" ref="O77:O140" si="7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6"/>
        <v>#N/A</v>
      </c>
      <c r="N78" s="88" t="e">
        <f t="shared" si="4"/>
        <v>#N/A</v>
      </c>
      <c r="O78" s="102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6"/>
        <v>#N/A</v>
      </c>
      <c r="N79" s="88" t="e">
        <f t="shared" si="4"/>
        <v>#N/A</v>
      </c>
      <c r="O79" s="102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6"/>
        <v>#N/A</v>
      </c>
      <c r="N80" s="88" t="e">
        <f t="shared" si="4"/>
        <v>#N/A</v>
      </c>
      <c r="O80" s="102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6"/>
        <v>#N/A</v>
      </c>
      <c r="N81" s="88" t="e">
        <f t="shared" si="4"/>
        <v>#N/A</v>
      </c>
      <c r="O81" s="102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6"/>
        <v>#N/A</v>
      </c>
      <c r="N82" s="88" t="e">
        <f t="shared" si="4"/>
        <v>#N/A</v>
      </c>
      <c r="O82" s="102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6"/>
        <v>#N/A</v>
      </c>
      <c r="N83" s="88" t="e">
        <f t="shared" si="4"/>
        <v>#N/A</v>
      </c>
      <c r="O83" s="102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6"/>
        <v>#N/A</v>
      </c>
      <c r="N84" s="88" t="e">
        <f t="shared" si="4"/>
        <v>#N/A</v>
      </c>
      <c r="O84" s="102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6"/>
        <v>#N/A</v>
      </c>
      <c r="N85" s="88" t="e">
        <f t="shared" si="4"/>
        <v>#N/A</v>
      </c>
      <c r="O85" s="102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6"/>
        <v>#N/A</v>
      </c>
      <c r="N86" s="88" t="e">
        <f t="shared" si="4"/>
        <v>#N/A</v>
      </c>
      <c r="O86" s="102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6"/>
        <v>#N/A</v>
      </c>
      <c r="N87" s="88" t="e">
        <f t="shared" si="4"/>
        <v>#N/A</v>
      </c>
      <c r="O87" s="102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6"/>
        <v>#N/A</v>
      </c>
      <c r="N88" s="88" t="e">
        <f t="shared" si="4"/>
        <v>#N/A</v>
      </c>
      <c r="O88" s="102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6"/>
        <v>#N/A</v>
      </c>
      <c r="N89" s="88" t="e">
        <f t="shared" si="4"/>
        <v>#N/A</v>
      </c>
      <c r="O89" s="102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6"/>
        <v>#N/A</v>
      </c>
      <c r="N90" s="88" t="e">
        <f t="shared" si="4"/>
        <v>#N/A</v>
      </c>
      <c r="O90" s="102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6"/>
        <v>#N/A</v>
      </c>
      <c r="N91" s="88" t="e">
        <f t="shared" si="4"/>
        <v>#N/A</v>
      </c>
      <c r="O91" s="102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6"/>
        <v>#N/A</v>
      </c>
      <c r="N92" s="88" t="e">
        <f t="shared" si="4"/>
        <v>#N/A</v>
      </c>
      <c r="O92" s="102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6"/>
        <v>#N/A</v>
      </c>
      <c r="N93" s="88" t="e">
        <f t="shared" si="4"/>
        <v>#N/A</v>
      </c>
      <c r="O93" s="102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6"/>
        <v>#N/A</v>
      </c>
      <c r="N94" s="88" t="e">
        <f t="shared" si="4"/>
        <v>#N/A</v>
      </c>
      <c r="O94" s="102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6"/>
        <v>#N/A</v>
      </c>
      <c r="N95" s="88" t="e">
        <f t="shared" si="4"/>
        <v>#N/A</v>
      </c>
      <c r="O95" s="102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6"/>
        <v>#N/A</v>
      </c>
      <c r="N96" s="88" t="e">
        <f t="shared" si="4"/>
        <v>#N/A</v>
      </c>
      <c r="O96" s="102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6"/>
        <v>#N/A</v>
      </c>
      <c r="N97" s="88" t="e">
        <f t="shared" si="4"/>
        <v>#N/A</v>
      </c>
      <c r="O97" s="102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6"/>
        <v>#N/A</v>
      </c>
      <c r="N98" s="88" t="e">
        <f t="shared" si="4"/>
        <v>#N/A</v>
      </c>
      <c r="O98" s="102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6"/>
        <v>#N/A</v>
      </c>
      <c r="N99" s="88" t="e">
        <f t="shared" si="4"/>
        <v>#N/A</v>
      </c>
      <c r="O99" s="102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6"/>
        <v>#N/A</v>
      </c>
      <c r="N100" s="88" t="e">
        <f t="shared" si="4"/>
        <v>#N/A</v>
      </c>
      <c r="O100" s="102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6"/>
        <v>#N/A</v>
      </c>
      <c r="N101" s="88" t="e">
        <f t="shared" si="4"/>
        <v>#N/A</v>
      </c>
      <c r="O101" s="102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6"/>
        <v>#N/A</v>
      </c>
      <c r="N102" s="88" t="e">
        <f t="shared" si="4"/>
        <v>#N/A</v>
      </c>
      <c r="O102" s="102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6"/>
        <v>#N/A</v>
      </c>
      <c r="N103" s="88" t="e">
        <f t="shared" si="4"/>
        <v>#N/A</v>
      </c>
      <c r="O103" s="102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6"/>
        <v>#N/A</v>
      </c>
      <c r="N104" s="88" t="e">
        <f t="shared" si="4"/>
        <v>#N/A</v>
      </c>
      <c r="O104" s="102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6"/>
        <v>#N/A</v>
      </c>
      <c r="N105" s="88" t="e">
        <f t="shared" si="4"/>
        <v>#N/A</v>
      </c>
      <c r="O105" s="102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6"/>
        <v>#N/A</v>
      </c>
      <c r="N106" s="88" t="e">
        <f t="shared" si="4"/>
        <v>#N/A</v>
      </c>
      <c r="O106" s="102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6"/>
        <v>#N/A</v>
      </c>
      <c r="N107" s="88" t="e">
        <f t="shared" si="4"/>
        <v>#N/A</v>
      </c>
      <c r="O107" s="102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6"/>
        <v>#N/A</v>
      </c>
      <c r="N108" s="88" t="e">
        <f t="shared" si="4"/>
        <v>#N/A</v>
      </c>
      <c r="O108" s="102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6"/>
        <v>#N/A</v>
      </c>
      <c r="N109" s="88" t="e">
        <f t="shared" si="4"/>
        <v>#N/A</v>
      </c>
      <c r="O109" s="102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6"/>
        <v>#N/A</v>
      </c>
      <c r="N110" s="88" t="e">
        <f t="shared" si="4"/>
        <v>#N/A</v>
      </c>
      <c r="O110" s="102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6"/>
        <v>#N/A</v>
      </c>
      <c r="N111" s="88" t="e">
        <f t="shared" si="4"/>
        <v>#N/A</v>
      </c>
      <c r="O111" s="102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6"/>
        <v>#N/A</v>
      </c>
      <c r="N112" s="88" t="e">
        <f t="shared" si="4"/>
        <v>#N/A</v>
      </c>
      <c r="O112" s="102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6"/>
        <v>#N/A</v>
      </c>
      <c r="N113" s="88" t="e">
        <f t="shared" si="4"/>
        <v>#N/A</v>
      </c>
      <c r="O113" s="102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6"/>
        <v>#N/A</v>
      </c>
      <c r="N114" s="88" t="e">
        <f t="shared" si="4"/>
        <v>#N/A</v>
      </c>
      <c r="O114" s="102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6"/>
        <v>#N/A</v>
      </c>
      <c r="N115" s="88" t="e">
        <f t="shared" si="4"/>
        <v>#N/A</v>
      </c>
      <c r="O115" s="102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6"/>
        <v>#N/A</v>
      </c>
      <c r="N116" s="88" t="e">
        <f t="shared" si="4"/>
        <v>#N/A</v>
      </c>
      <c r="O116" s="102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6"/>
        <v>#N/A</v>
      </c>
      <c r="N117" s="88" t="e">
        <f t="shared" si="4"/>
        <v>#N/A</v>
      </c>
      <c r="O117" s="102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6"/>
        <v>#N/A</v>
      </c>
      <c r="N118" s="88" t="e">
        <f t="shared" si="4"/>
        <v>#N/A</v>
      </c>
      <c r="O118" s="102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6"/>
        <v>#N/A</v>
      </c>
      <c r="N119" s="88" t="e">
        <f t="shared" si="4"/>
        <v>#N/A</v>
      </c>
      <c r="O119" s="102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6"/>
        <v>#N/A</v>
      </c>
      <c r="N120" s="88" t="e">
        <f t="shared" si="4"/>
        <v>#N/A</v>
      </c>
      <c r="O120" s="102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5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6"/>
        <v>#N/A</v>
      </c>
      <c r="N121" s="88" t="e">
        <f t="shared" si="4"/>
        <v>#N/A</v>
      </c>
      <c r="O121" s="102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5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6"/>
        <v>#N/A</v>
      </c>
      <c r="N122" s="88" t="e">
        <f t="shared" si="4"/>
        <v>#N/A</v>
      </c>
      <c r="O122" s="102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5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6"/>
        <v>#N/A</v>
      </c>
      <c r="N123" s="88" t="e">
        <f t="shared" si="4"/>
        <v>#N/A</v>
      </c>
      <c r="O123" s="102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5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6"/>
        <v>#N/A</v>
      </c>
      <c r="N124" s="88" t="e">
        <f t="shared" si="4"/>
        <v>#N/A</v>
      </c>
      <c r="O124" s="102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5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6"/>
        <v>#N/A</v>
      </c>
      <c r="N125" s="88" t="e">
        <f t="shared" si="4"/>
        <v>#N/A</v>
      </c>
      <c r="O125" s="102" t="e">
        <f t="shared" si="7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5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6"/>
        <v>#N/A</v>
      </c>
      <c r="N126" s="88" t="e">
        <f t="shared" si="4"/>
        <v>#N/A</v>
      </c>
      <c r="O126" s="102" t="e">
        <f t="shared" si="7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5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6"/>
        <v>#N/A</v>
      </c>
      <c r="N127" s="88" t="e">
        <f t="shared" si="4"/>
        <v>#N/A</v>
      </c>
      <c r="O127" s="102" t="e">
        <f t="shared" si="7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5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6"/>
        <v>#N/A</v>
      </c>
      <c r="N128" s="88" t="e">
        <f t="shared" si="4"/>
        <v>#N/A</v>
      </c>
      <c r="O128" s="102" t="e">
        <f t="shared" si="7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5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6"/>
        <v>#N/A</v>
      </c>
      <c r="N129" s="88" t="e">
        <f t="shared" si="4"/>
        <v>#N/A</v>
      </c>
      <c r="O129" s="102" t="e">
        <f t="shared" si="7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5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6"/>
        <v>#N/A</v>
      </c>
      <c r="N130" s="88" t="e">
        <f t="shared" si="4"/>
        <v>#N/A</v>
      </c>
      <c r="O130" s="102" t="e">
        <f t="shared" si="7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5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6"/>
        <v>#N/A</v>
      </c>
      <c r="N131" s="88" t="e">
        <f t="shared" si="4"/>
        <v>#N/A</v>
      </c>
      <c r="O131" s="102" t="e">
        <f t="shared" si="7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5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6"/>
        <v>#N/A</v>
      </c>
      <c r="N132" s="88" t="e">
        <f t="shared" si="4"/>
        <v>#N/A</v>
      </c>
      <c r="O132" s="102" t="e">
        <f t="shared" si="7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5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6"/>
        <v>#N/A</v>
      </c>
      <c r="N133" s="88" t="e">
        <f t="shared" si="4"/>
        <v>#N/A</v>
      </c>
      <c r="O133" s="102" t="e">
        <f t="shared" si="7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5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6"/>
        <v>#N/A</v>
      </c>
      <c r="N134" s="88" t="e">
        <f t="shared" si="4"/>
        <v>#N/A</v>
      </c>
      <c r="O134" s="102" t="e">
        <f t="shared" si="7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5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6"/>
        <v>#N/A</v>
      </c>
      <c r="N135" s="88" t="e">
        <f t="shared" si="4"/>
        <v>#N/A</v>
      </c>
      <c r="O135" s="102" t="e">
        <f t="shared" si="7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5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6"/>
        <v>#N/A</v>
      </c>
      <c r="N136" s="88" t="e">
        <f t="shared" si="4"/>
        <v>#N/A</v>
      </c>
      <c r="O136" s="102" t="e">
        <f t="shared" si="7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5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6"/>
        <v>#N/A</v>
      </c>
      <c r="N137" s="88" t="e">
        <f t="shared" si="4"/>
        <v>#N/A</v>
      </c>
      <c r="O137" s="102" t="e">
        <f t="shared" si="7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5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6"/>
        <v>#N/A</v>
      </c>
      <c r="N138" s="88" t="e">
        <f t="shared" si="4"/>
        <v>#N/A</v>
      </c>
      <c r="O138" s="102" t="e">
        <f t="shared" si="7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5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6"/>
        <v>#N/A</v>
      </c>
      <c r="N139" s="88" t="e">
        <f t="shared" si="4"/>
        <v>#N/A</v>
      </c>
      <c r="O139" s="102" t="e">
        <f t="shared" si="7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5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6"/>
        <v>#N/A</v>
      </c>
      <c r="N140" s="88" t="e">
        <f t="shared" ref="N140:N150" si="8">L140/$L$151</f>
        <v>#N/A</v>
      </c>
      <c r="O140" s="102" t="e">
        <f t="shared" si="7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9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0">VALUE(L141)</f>
        <v>#N/A</v>
      </c>
      <c r="N141" s="88" t="e">
        <f t="shared" si="8"/>
        <v>#N/A</v>
      </c>
      <c r="O141" s="102" t="e">
        <f t="shared" ref="O141:O150" si="11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9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0"/>
        <v>#N/A</v>
      </c>
      <c r="N142" s="88" t="e">
        <f t="shared" si="8"/>
        <v>#N/A</v>
      </c>
      <c r="O142" s="102" t="e">
        <f t="shared" si="11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9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0"/>
        <v>#N/A</v>
      </c>
      <c r="N143" s="88" t="e">
        <f t="shared" si="8"/>
        <v>#N/A</v>
      </c>
      <c r="O143" s="102" t="e">
        <f t="shared" si="11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9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0"/>
        <v>#N/A</v>
      </c>
      <c r="N144" s="88" t="e">
        <f t="shared" si="8"/>
        <v>#N/A</v>
      </c>
      <c r="O144" s="102" t="e">
        <f t="shared" si="11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9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0"/>
        <v>#N/A</v>
      </c>
      <c r="N145" s="88" t="e">
        <f t="shared" si="8"/>
        <v>#N/A</v>
      </c>
      <c r="O145" s="102" t="e">
        <f t="shared" si="11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9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0"/>
        <v>#N/A</v>
      </c>
      <c r="N146" s="88" t="e">
        <f t="shared" si="8"/>
        <v>#N/A</v>
      </c>
      <c r="O146" s="102" t="e">
        <f t="shared" si="11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9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0"/>
        <v>#N/A</v>
      </c>
      <c r="N147" s="88" t="e">
        <f t="shared" si="8"/>
        <v>#N/A</v>
      </c>
      <c r="O147" s="102" t="e">
        <f t="shared" si="11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9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0"/>
        <v>#N/A</v>
      </c>
      <c r="N148" s="88" t="e">
        <f t="shared" si="8"/>
        <v>#N/A</v>
      </c>
      <c r="O148" s="102" t="e">
        <f t="shared" si="11"/>
        <v>#N/A</v>
      </c>
    </row>
    <row r="149" spans="1:15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9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0"/>
        <v>#N/A</v>
      </c>
      <c r="N149" s="88" t="e">
        <f t="shared" si="8"/>
        <v>#N/A</v>
      </c>
      <c r="O149" s="102" t="e">
        <f t="shared" si="11"/>
        <v>#N/A</v>
      </c>
    </row>
    <row r="150" spans="1:15" ht="13.2" thickBot="1" x14ac:dyDescent="0.25">
      <c r="A150" s="94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9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0"/>
        <v>#N/A</v>
      </c>
      <c r="N150" s="45" t="e">
        <f t="shared" si="8"/>
        <v>#N/A</v>
      </c>
      <c r="O150" s="102" t="e">
        <f t="shared" si="11"/>
        <v>#N/A</v>
      </c>
    </row>
    <row r="151" spans="1:15" ht="13.8" thickTop="1" thickBot="1" x14ac:dyDescent="0.25">
      <c r="I151" s="139" t="s">
        <v>5387</v>
      </c>
      <c r="J151" s="140"/>
      <c r="K151" s="141"/>
      <c r="L151" s="63">
        <f>SUMIF(L10:L150,"&gt;=0")</f>
        <v>48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A27:A150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workbookViewId="0">
      <selection activeCell="E33" sqref="E33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7" t="s">
        <v>127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8"/>
      <c r="C7" s="138"/>
      <c r="D7" s="138"/>
      <c r="E7" s="138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5440</v>
      </c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13" t="s">
        <v>4222</v>
      </c>
      <c r="B12" s="44" t="str">
        <f>IF(LEN(VLOOKUP(A12,'Species List'!$A:$G,2,FALSE))=0,"",VLOOKUP(A12,'Species List'!$A:$G,2,FALSE))</f>
        <v>giant goldenrod</v>
      </c>
      <c r="C12" s="44">
        <f>IF(LEN(VLOOKUP(A12,'Species List'!$A:$G,3,FALSE))=0,"",VLOOKUP(A12,'Species List'!$A:$G,3,FALSE))</f>
        <v>3</v>
      </c>
      <c r="D12" s="103">
        <f>VALUE(C12)</f>
        <v>3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FACW</v>
      </c>
      <c r="H12" s="44">
        <f>VLOOKUP(A12,'Species List'!$A:$G,7,FALSE)</f>
        <v>0</v>
      </c>
      <c r="J12" s="111">
        <v>1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3.0927835051546393E-2</v>
      </c>
      <c r="O12" s="88">
        <f>D12*N12</f>
        <v>9.2783505154639179E-2</v>
      </c>
    </row>
    <row r="13" spans="1:15" x14ac:dyDescent="0.2">
      <c r="A13" s="113" t="s">
        <v>4246</v>
      </c>
      <c r="B13" s="44" t="str">
        <f>IF(LEN(VLOOKUP(A13,'Species List'!$A:$G,2,FALSE))=0,"",VLOOKUP(A13,'Species List'!$A:$G,2,FALSE))</f>
        <v>showy goldenrod</v>
      </c>
      <c r="C13" s="44">
        <f>IF(LEN(VLOOKUP(A13,'Species List'!$A:$G,3,FALSE))=0,"",VLOOKUP(A13,'Species List'!$A:$G,3,FALSE))</f>
        <v>5</v>
      </c>
      <c r="D13" s="103">
        <f t="shared" ref="D13:D76" si="0">VALUE(C13)</f>
        <v>5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/>
      </c>
      <c r="H13" s="44">
        <f>VLOOKUP(A13,'Species List'!$A:$G,7,FALSE)</f>
        <v>0</v>
      </c>
      <c r="J13" s="111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ref="M13:M76" si="1">VALUE(L13)</f>
        <v>15</v>
      </c>
      <c r="N13" s="102">
        <f t="shared" ref="N13:N76" si="2">L13/$L$151</f>
        <v>0.15463917525773196</v>
      </c>
      <c r="O13" s="102">
        <f t="shared" ref="O13:O76" si="3">D13*N13</f>
        <v>0.77319587628865982</v>
      </c>
    </row>
    <row r="14" spans="1:15" x14ac:dyDescent="0.2">
      <c r="A14" s="113" t="s">
        <v>4213</v>
      </c>
      <c r="B14" s="44" t="str">
        <f>IF(LEN(VLOOKUP(A14,'Species List'!$A:$G,2,FALSE))=0,"",VLOOKUP(A14,'Species List'!$A:$G,2,FALSE))</f>
        <v>late goldenrod</v>
      </c>
      <c r="C14" s="44">
        <v>1</v>
      </c>
      <c r="D14" s="103">
        <f t="shared" si="0"/>
        <v>1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FACU</v>
      </c>
      <c r="H14" s="44">
        <f>VLOOKUP(A14,'Species List'!$A:$G,7,FALSE)</f>
        <v>0</v>
      </c>
      <c r="J14" s="111">
        <v>2</v>
      </c>
      <c r="K14" s="47" t="str">
        <f>VLOOKUP(J14,'Species List'!$H$1:$J$9,2,FALSE)</f>
        <v>&gt;5-25%</v>
      </c>
      <c r="L14" s="47">
        <f>VLOOKUP(K14,'Species List'!$I$1:$N$8,2,FALSE)</f>
        <v>15</v>
      </c>
      <c r="M14" s="104">
        <f t="shared" si="1"/>
        <v>15</v>
      </c>
      <c r="N14" s="102">
        <f t="shared" si="2"/>
        <v>0.15463917525773196</v>
      </c>
      <c r="O14" s="102">
        <f t="shared" si="3"/>
        <v>0.15463917525773196</v>
      </c>
    </row>
    <row r="15" spans="1:15" x14ac:dyDescent="0.2">
      <c r="A15" s="113" t="s">
        <v>553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6</v>
      </c>
      <c r="D15" s="103">
        <f t="shared" si="0"/>
        <v>6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11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1"/>
        <v>3</v>
      </c>
      <c r="N15" s="102">
        <f t="shared" si="2"/>
        <v>3.0927835051546393E-2</v>
      </c>
      <c r="O15" s="102">
        <f t="shared" si="3"/>
        <v>0.18556701030927836</v>
      </c>
    </row>
    <row r="16" spans="1:15" x14ac:dyDescent="0.2">
      <c r="A16" s="113" t="s">
        <v>2650</v>
      </c>
      <c r="B16" s="44" t="str">
        <f>IF(LEN(VLOOKUP(A16,'Species List'!$A:$G,2,FALSE))=0,"",VLOOKUP(A16,'Species List'!$A:$G,2,FALSE))</f>
        <v>round-headed bush clover</v>
      </c>
      <c r="C16" s="44">
        <f>IF(LEN(VLOOKUP(A16,'Species List'!$A:$G,3,FALSE))=0,"",VLOOKUP(A16,'Species List'!$A:$G,3,FALSE))</f>
        <v>3</v>
      </c>
      <c r="D16" s="103">
        <f t="shared" si="0"/>
        <v>3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FACU</v>
      </c>
      <c r="H16" s="44">
        <f>VLOOKUP(A16,'Species List'!$A:$G,7,FALSE)</f>
        <v>0</v>
      </c>
      <c r="J16" s="111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3.0927835051546393E-2</v>
      </c>
      <c r="O16" s="102">
        <f t="shared" si="3"/>
        <v>9.2783505154639179E-2</v>
      </c>
    </row>
    <row r="17" spans="1:15" x14ac:dyDescent="0.2">
      <c r="A17" s="113" t="s">
        <v>1375</v>
      </c>
      <c r="B17" s="44" t="str">
        <f>IF(LEN(VLOOKUP(A17,'Species List'!$A:$G,2,FALSE))=0,"",VLOOKUP(A17,'Species List'!$A:$G,2,FALSE))</f>
        <v>field thistle</v>
      </c>
      <c r="C17" s="44">
        <f>IF(LEN(VLOOKUP(A17,'Species List'!$A:$G,3,FALSE))=0,"",VLOOKUP(A17,'Species List'!$A:$G,3,FALSE))</f>
        <v>4</v>
      </c>
      <c r="D17" s="103">
        <f t="shared" si="0"/>
        <v>4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FACU</v>
      </c>
      <c r="H17" s="44">
        <f>VLOOKUP(A17,'Species List'!$A:$G,7,FALSE)</f>
        <v>0</v>
      </c>
      <c r="J17" s="111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3.0927835051546393E-2</v>
      </c>
      <c r="O17" s="102">
        <f t="shared" si="3"/>
        <v>0.12371134020618557</v>
      </c>
    </row>
    <row r="18" spans="1:15" x14ac:dyDescent="0.2">
      <c r="A18" s="113" t="s">
        <v>3082</v>
      </c>
      <c r="B18" s="44" t="str">
        <f>IF(LEN(VLOOKUP(A18,'Species List'!$A:$G,2,FALSE))=0,"",VLOOKUP(A18,'Species List'!$A:$G,2,FALSE))</f>
        <v>common evening primrose</v>
      </c>
      <c r="C18" s="44">
        <f>IF(LEN(VLOOKUP(A18,'Species List'!$A:$G,3,FALSE))=0,"",VLOOKUP(A18,'Species List'!$A:$G,3,FALSE))</f>
        <v>1</v>
      </c>
      <c r="D18" s="103">
        <f t="shared" si="0"/>
        <v>1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111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3.0927835051546393E-2</v>
      </c>
      <c r="O18" s="102">
        <f t="shared" si="3"/>
        <v>3.0927835051546393E-2</v>
      </c>
    </row>
    <row r="19" spans="1:15" x14ac:dyDescent="0.2">
      <c r="A19" s="113" t="s">
        <v>186</v>
      </c>
      <c r="B19" s="44" t="str">
        <f>IF(LEN(VLOOKUP(A19,'Species List'!$A:$G,2,FALSE))=0,"",VLOOKUP(A19,'Species List'!$A:$G,2,FALSE))</f>
        <v>common yarrow</v>
      </c>
      <c r="C19" s="44">
        <f>IF(LEN(VLOOKUP(A19,'Species List'!$A:$G,3,FALSE))=0,"",VLOOKUP(A19,'Species List'!$A:$G,3,FALSE))</f>
        <v>1</v>
      </c>
      <c r="D19" s="103">
        <f t="shared" si="0"/>
        <v>1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114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3.0927835051546393E-2</v>
      </c>
      <c r="O19" s="102">
        <f t="shared" si="3"/>
        <v>3.0927835051546393E-2</v>
      </c>
    </row>
    <row r="20" spans="1:15" x14ac:dyDescent="0.2">
      <c r="A20" s="113" t="s">
        <v>552</v>
      </c>
      <c r="B20" s="44" t="str">
        <f>IF(LEN(VLOOKUP(A20,'Species List'!$A:$G,2,FALSE))=0,"",VLOOKUP(A20,'Species List'!$A:$G,2,FALSE))</f>
        <v>common milkweed</v>
      </c>
      <c r="C20" s="44">
        <f>IF(LEN(VLOOKUP(A20,'Species List'!$A:$G,3,FALSE))=0,"",VLOOKUP(A20,'Species List'!$A:$G,3,FALSE))</f>
        <v>1</v>
      </c>
      <c r="D20" s="103">
        <f t="shared" si="0"/>
        <v>1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FACU</v>
      </c>
      <c r="H20" s="44">
        <f>VLOOKUP(A20,'Species List'!$A:$G,7,FALSE)</f>
        <v>0</v>
      </c>
      <c r="J20" s="111">
        <v>1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102">
        <f t="shared" si="2"/>
        <v>3.0927835051546393E-2</v>
      </c>
      <c r="O20" s="102">
        <f t="shared" si="3"/>
        <v>3.0927835051546393E-2</v>
      </c>
    </row>
    <row r="21" spans="1:15" x14ac:dyDescent="0.2">
      <c r="A21" s="113" t="s">
        <v>2947</v>
      </c>
      <c r="B21" s="44" t="str">
        <f>IF(LEN(VLOOKUP(A21,'Species List'!$A:$G,2,FALSE))=0,"",VLOOKUP(A21,'Species List'!$A:$G,2,FALSE))</f>
        <v>wild bergamot</v>
      </c>
      <c r="C21" s="44">
        <f>IF(LEN(VLOOKUP(A21,'Species List'!$A:$G,3,FALSE))=0,"",VLOOKUP(A21,'Species List'!$A:$G,3,FALSE))</f>
        <v>3</v>
      </c>
      <c r="D21" s="103">
        <f t="shared" si="0"/>
        <v>3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FACU</v>
      </c>
      <c r="H21" s="44">
        <f>VLOOKUP(A21,'Species List'!$A:$G,7,FALSE)</f>
        <v>0</v>
      </c>
      <c r="J21" s="111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102">
        <f t="shared" si="2"/>
        <v>3.0927835051546393E-2</v>
      </c>
      <c r="O21" s="102">
        <f t="shared" si="3"/>
        <v>9.2783505154639179E-2</v>
      </c>
    </row>
    <row r="22" spans="1:15" x14ac:dyDescent="0.2">
      <c r="A22" s="113" t="s">
        <v>2680</v>
      </c>
      <c r="B22" s="44" t="str">
        <f>IF(LEN(VLOOKUP(A22,'Species List'!$A:$G,2,FALSE))=0,"",VLOOKUP(A22,'Species List'!$A:$G,2,FALSE))</f>
        <v>butter-and-eggs</v>
      </c>
      <c r="C22" s="44">
        <f>IF(LEN(VLOOKUP(A22,'Species List'!$A:$G,3,FALSE))=0,"",VLOOKUP(A22,'Species List'!$A:$G,3,FALSE))</f>
        <v>0</v>
      </c>
      <c r="D22" s="103">
        <f t="shared" si="0"/>
        <v>0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Introduced</v>
      </c>
      <c r="G22" s="44" t="str">
        <f>IF(LEN(VLOOKUP(A22,'Species List'!$A:$G,6,FALSE))=0,"",VLOOKUP(A22,'Species List'!$A:$G,6,FALSE))</f>
        <v/>
      </c>
      <c r="H22" s="44">
        <f>VLOOKUP(A22,'Species List'!$A:$G,7,FALSE)</f>
        <v>0</v>
      </c>
      <c r="J22" s="111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3.0927835051546393E-2</v>
      </c>
      <c r="O22" s="102">
        <f t="shared" si="3"/>
        <v>0</v>
      </c>
    </row>
    <row r="23" spans="1:15" x14ac:dyDescent="0.2">
      <c r="A23" s="113" t="s">
        <v>320</v>
      </c>
      <c r="B23" s="44" t="str">
        <f>IF(LEN(VLOOKUP(A23,'Species List'!$A:$G,2,FALSE))=0,"",VLOOKUP(A23,'Species List'!$A:$G,2,FALSE))</f>
        <v>common ragweed</v>
      </c>
      <c r="C23" s="44">
        <f>IF(LEN(VLOOKUP(A23,'Species List'!$A:$G,3,FALSE))=0,"",VLOOKUP(A23,'Species List'!$A:$G,3,FALSE))</f>
        <v>0</v>
      </c>
      <c r="D23" s="103">
        <f t="shared" si="0"/>
        <v>0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111">
        <v>1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1"/>
        <v>3</v>
      </c>
      <c r="N23" s="102">
        <f t="shared" si="2"/>
        <v>3.0927835051546393E-2</v>
      </c>
      <c r="O23" s="102">
        <f t="shared" si="3"/>
        <v>0</v>
      </c>
    </row>
    <row r="24" spans="1:15" x14ac:dyDescent="0.2">
      <c r="A24" s="113" t="s">
        <v>2132</v>
      </c>
      <c r="B24" s="44" t="str">
        <f>IF(LEN(VLOOKUP(A24,'Species List'!$A:$G,2,FALSE))=0,"",VLOOKUP(A24,'Species List'!$A:$G,2,FALSE))</f>
        <v/>
      </c>
      <c r="C24" s="44">
        <f>IF(LEN(VLOOKUP(A24,'Species List'!$A:$G,3,FALSE))=0,"",VLOOKUP(A24,'Species List'!$A:$G,3,FALSE))</f>
        <v>3</v>
      </c>
      <c r="D24" s="103">
        <f t="shared" si="0"/>
        <v>3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UPL</v>
      </c>
      <c r="H24" s="44">
        <f>VLOOKUP(A24,'Species List'!$A:$G,7,FALSE)</f>
        <v>0</v>
      </c>
      <c r="J24" s="111">
        <v>1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1"/>
        <v>3</v>
      </c>
      <c r="N24" s="102">
        <f t="shared" si="2"/>
        <v>3.0927835051546393E-2</v>
      </c>
      <c r="O24" s="102">
        <f t="shared" si="3"/>
        <v>9.2783505154639179E-2</v>
      </c>
    </row>
    <row r="25" spans="1:15" x14ac:dyDescent="0.2">
      <c r="A25" s="113" t="s">
        <v>3898</v>
      </c>
      <c r="B25" s="44" t="str">
        <f>IF(LEN(VLOOKUP(A25,'Species List'!$A:$G,2,FALSE))=0,"",VLOOKUP(A25,'Species List'!$A:$G,2,FALSE))</f>
        <v>common sheep sorrel</v>
      </c>
      <c r="C25" s="44">
        <f>IF(LEN(VLOOKUP(A25,'Species List'!$A:$G,3,FALSE))=0,"",VLOOKUP(A25,'Species List'!$A:$G,3,FALSE))</f>
        <v>0</v>
      </c>
      <c r="D25" s="103">
        <f t="shared" si="0"/>
        <v>0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Introduced</v>
      </c>
      <c r="G25" s="44" t="str">
        <f>IF(LEN(VLOOKUP(A25,'Species List'!$A:$G,6,FALSE))=0,"",VLOOKUP(A25,'Species List'!$A:$G,6,FALSE))</f>
        <v>FAC</v>
      </c>
      <c r="H25" s="44">
        <f>VLOOKUP(A25,'Species List'!$A:$G,7,FALSE)</f>
        <v>0</v>
      </c>
      <c r="J25" s="111">
        <v>1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3.0927835051546393E-2</v>
      </c>
      <c r="O25" s="102">
        <f t="shared" si="3"/>
        <v>0</v>
      </c>
    </row>
    <row r="26" spans="1:15" x14ac:dyDescent="0.2">
      <c r="A26" s="113" t="s">
        <v>4436</v>
      </c>
      <c r="B26" s="44" t="str">
        <f>IF(LEN(VLOOKUP(A26,'Species List'!$A:$G,2,FALSE))=0,"",VLOOKUP(A26,'Species List'!$A:$G,2,FALSE))</f>
        <v>awl aster</v>
      </c>
      <c r="C26" s="44">
        <v>1</v>
      </c>
      <c r="D26" s="103">
        <f t="shared" si="0"/>
        <v>1</v>
      </c>
      <c r="E26" s="44" t="str">
        <f>IF(LEN(VLOOKUP(A26,'Species List'!$A:$G,4,FALSE))=0,"",VLOOKUP(A26,'Species List'!$A:$G,4,FALSE))</f>
        <v>H</v>
      </c>
      <c r="F26" s="44" t="s">
        <v>147</v>
      </c>
      <c r="G26" s="44" t="str">
        <f>IF(LEN(VLOOKUP(A26,'Species List'!$A:$G,6,FALSE))=0,"",VLOOKUP(A26,'Species List'!$A:$G,6,FALSE))</f>
        <v>FACU</v>
      </c>
      <c r="H26" s="44" t="str">
        <f>VLOOKUP(A26,'Species List'!$A:$G,7,FALSE)</f>
        <v>W</v>
      </c>
      <c r="I26" s="88" t="s">
        <v>5389</v>
      </c>
      <c r="J26" s="111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102">
        <f t="shared" si="2"/>
        <v>3.0927835051546393E-2</v>
      </c>
      <c r="O26" s="102">
        <f t="shared" si="3"/>
        <v>3.0927835051546393E-2</v>
      </c>
    </row>
    <row r="27" spans="1:15" x14ac:dyDescent="0.2">
      <c r="A27" s="113" t="s">
        <v>2577</v>
      </c>
      <c r="B27" s="44" t="str">
        <f>IF(LEN(VLOOKUP(A27,'Species List'!$A:$G,2,FALSE))=0,"",VLOOKUP(A27,'Species List'!$A:$G,2,FALSE))</f>
        <v>Canada wild lettuce</v>
      </c>
      <c r="C27" s="44">
        <f>IF(LEN(VLOOKUP(A27,'Species List'!$A:$G,3,FALSE))=0,"",VLOOKUP(A27,'Species List'!$A:$G,3,FALSE))</f>
        <v>2</v>
      </c>
      <c r="D27" s="103">
        <f t="shared" si="0"/>
        <v>2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FACU+</v>
      </c>
      <c r="H27" s="44">
        <f>VLOOKUP(A27,'Species List'!$A:$G,7,FALSE)</f>
        <v>0</v>
      </c>
      <c r="J27" s="111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1"/>
        <v>3</v>
      </c>
      <c r="N27" s="102">
        <f t="shared" si="2"/>
        <v>3.0927835051546393E-2</v>
      </c>
      <c r="O27" s="102">
        <f t="shared" si="3"/>
        <v>6.1855670103092786E-2</v>
      </c>
    </row>
    <row r="28" spans="1:15" x14ac:dyDescent="0.2">
      <c r="A28" s="113" t="s">
        <v>5443</v>
      </c>
      <c r="B28" s="44" t="e">
        <f>IF(LEN(VLOOKUP(A28,'Species List'!$A:$G,2,FALSE))=0,"",VLOOKUP(A28,'Species List'!$A:$G,2,FALSE))</f>
        <v>#N/A</v>
      </c>
      <c r="C28" s="44">
        <v>2</v>
      </c>
      <c r="D28" s="103">
        <f t="shared" si="0"/>
        <v>2</v>
      </c>
      <c r="E28" s="44" t="e">
        <f>IF(LEN(VLOOKUP(A28,'Species List'!$A:$G,4,FALSE))=0,"",VLOOKUP(A28,'Species List'!$A:$G,4,FALSE))</f>
        <v>#N/A</v>
      </c>
      <c r="F28" s="44" t="s">
        <v>147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I28" s="88" t="s">
        <v>5389</v>
      </c>
      <c r="J28" s="111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1"/>
        <v>3</v>
      </c>
      <c r="N28" s="102">
        <f t="shared" si="2"/>
        <v>3.0927835051546393E-2</v>
      </c>
      <c r="O28" s="102">
        <f t="shared" si="3"/>
        <v>6.1855670103092786E-2</v>
      </c>
    </row>
    <row r="29" spans="1:15" x14ac:dyDescent="0.2">
      <c r="A29" s="113" t="s">
        <v>1659</v>
      </c>
      <c r="B29" s="44" t="str">
        <f>IF(LEN(VLOOKUP(A29,'Species List'!$A:$G,2,FALSE))=0,"",VLOOKUP(A29,'Species List'!$A:$G,2,FALSE))</f>
        <v>pointed-leaved tick trefoil</v>
      </c>
      <c r="C29" s="44">
        <v>4</v>
      </c>
      <c r="D29" s="103">
        <f t="shared" si="0"/>
        <v>4</v>
      </c>
      <c r="E29" s="44" t="str">
        <f>IF(LEN(VLOOKUP(A29,'Species List'!$A:$G,4,FALSE))=0,"",VLOOKUP(A29,'Species List'!$A:$G,4,FALSE))</f>
        <v>H</v>
      </c>
      <c r="F29" s="44" t="s">
        <v>147</v>
      </c>
      <c r="G29" s="44" t="str">
        <f>IF(LEN(VLOOKUP(A29,'Species List'!$A:$G,6,FALSE))=0,"",VLOOKUP(A29,'Species List'!$A:$G,6,FALSE))</f>
        <v/>
      </c>
      <c r="H29" s="44">
        <f>VLOOKUP(A29,'Species List'!$A:$G,7,FALSE)</f>
        <v>0</v>
      </c>
      <c r="J29" s="111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1"/>
        <v>3</v>
      </c>
      <c r="N29" s="102">
        <f t="shared" si="2"/>
        <v>3.0927835051546393E-2</v>
      </c>
      <c r="O29" s="102">
        <f t="shared" si="3"/>
        <v>0.12371134020618557</v>
      </c>
    </row>
    <row r="30" spans="1:15" x14ac:dyDescent="0.2">
      <c r="A30" s="113" t="s">
        <v>1420</v>
      </c>
      <c r="B30" s="44" t="str">
        <f>IF(LEN(VLOOKUP(A30,'Species List'!$A:$G,2,FALSE))=0,"",VLOOKUP(A30,'Species List'!$A:$G,2,FALSE))</f>
        <v>horseweed</v>
      </c>
      <c r="C30" s="44">
        <f>IF(LEN(VLOOKUP(A30,'Species List'!$A:$G,3,FALSE))=0,"",VLOOKUP(A30,'Species List'!$A:$G,3,FALSE))</f>
        <v>0</v>
      </c>
      <c r="D30" s="103">
        <f t="shared" si="0"/>
        <v>0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[FAC-]</v>
      </c>
      <c r="H30" s="44">
        <f>VLOOKUP(A30,'Species List'!$A:$G,7,FALSE)</f>
        <v>0</v>
      </c>
      <c r="J30" s="111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1"/>
        <v>3</v>
      </c>
      <c r="N30" s="102">
        <f t="shared" si="2"/>
        <v>3.0927835051546393E-2</v>
      </c>
      <c r="O30" s="102">
        <f t="shared" si="3"/>
        <v>0</v>
      </c>
    </row>
    <row r="31" spans="1:15" x14ac:dyDescent="0.2">
      <c r="A31" s="113" t="s">
        <v>4653</v>
      </c>
      <c r="B31" s="44" t="str">
        <f>IF(LEN(VLOOKUP(A31,'Species List'!$A:$G,2,FALSE))=0,"",VLOOKUP(A31,'Species List'!$A:$G,2,FALSE))</f>
        <v>common mullein</v>
      </c>
      <c r="C31" s="44">
        <f>IF(LEN(VLOOKUP(A31,'Species List'!$A:$G,3,FALSE))=0,"",VLOOKUP(A31,'Species List'!$A:$G,3,FALSE))</f>
        <v>0</v>
      </c>
      <c r="D31" s="103">
        <f t="shared" si="0"/>
        <v>0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Introduced</v>
      </c>
      <c r="G31" s="44" t="str">
        <f>IF(LEN(VLOOKUP(A31,'Species List'!$A:$G,6,FALSE))=0,"",VLOOKUP(A31,'Species List'!$A:$G,6,FALSE))</f>
        <v>UPL</v>
      </c>
      <c r="H31" s="44">
        <f>VLOOKUP(A31,'Species List'!$A:$G,7,FALSE)</f>
        <v>0</v>
      </c>
      <c r="J31" s="111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4">
        <f t="shared" si="1"/>
        <v>3</v>
      </c>
      <c r="N31" s="102">
        <f t="shared" si="2"/>
        <v>3.0927835051546393E-2</v>
      </c>
      <c r="O31" s="102">
        <f t="shared" si="3"/>
        <v>0</v>
      </c>
    </row>
    <row r="32" spans="1:15" x14ac:dyDescent="0.2">
      <c r="A32" s="113" t="s">
        <v>1515</v>
      </c>
      <c r="B32" s="44" t="str">
        <f>IF(LEN(VLOOKUP(A32,'Species List'!$A:$G,2,FALSE))=0,"",VLOOKUP(A32,'Species List'!$A:$G,2,FALSE))</f>
        <v>rattlebox</v>
      </c>
      <c r="C32" s="44">
        <f>IF(LEN(VLOOKUP(A32,'Species List'!$A:$G,3,FALSE))=0,"",VLOOKUP(A32,'Species List'!$A:$G,3,FALSE))</f>
        <v>3</v>
      </c>
      <c r="D32" s="103">
        <f t="shared" si="0"/>
        <v>3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/>
      </c>
      <c r="H32" s="44" t="str">
        <f>VLOOKUP(A32,'Species List'!$A:$G,7,FALSE)</f>
        <v>SC</v>
      </c>
      <c r="J32" s="111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1"/>
        <v>3</v>
      </c>
      <c r="N32" s="102">
        <f t="shared" si="2"/>
        <v>3.0927835051546393E-2</v>
      </c>
      <c r="O32" s="102">
        <f t="shared" si="3"/>
        <v>9.2783505154639179E-2</v>
      </c>
    </row>
    <row r="33" spans="1:15" x14ac:dyDescent="0.2">
      <c r="A33" s="113" t="s">
        <v>5187</v>
      </c>
      <c r="B33" s="44" t="str">
        <f>IF(LEN(VLOOKUP(A33,'Species List'!$A:$G,2,FALSE))=0,"",VLOOKUP(A33,'Species List'!$A:$G,2,FALSE))</f>
        <v/>
      </c>
      <c r="C33" s="44">
        <v>3</v>
      </c>
      <c r="D33" s="103">
        <f t="shared" si="0"/>
        <v>3</v>
      </c>
      <c r="E33" s="44" t="str">
        <f>IF(LEN(VLOOKUP(A33,'Species List'!$A:$G,4,FALSE))=0,"",VLOOKUP(A33,'Species List'!$A:$G,4,FALSE))</f>
        <v/>
      </c>
      <c r="F33" s="44" t="s">
        <v>147</v>
      </c>
      <c r="G33" s="44" t="str">
        <f>IF(LEN(VLOOKUP(A33,'Species List'!$A:$G,6,FALSE))=0,"",VLOOKUP(A33,'Species List'!$A:$G,6,FALSE))</f>
        <v/>
      </c>
      <c r="H33" s="44">
        <f>VLOOKUP(A33,'Species List'!$A:$G,7,FALSE)</f>
        <v>0</v>
      </c>
      <c r="J33" s="111" t="s">
        <v>5420</v>
      </c>
      <c r="K33" s="47" t="str">
        <f>VLOOKUP(J33,'Species List'!$H$1:$J$9,2,FALSE)</f>
        <v>&gt;0-1%</v>
      </c>
      <c r="L33" s="47">
        <f>VLOOKUP(K33,'Species List'!$I$1:$N$8,2,FALSE)</f>
        <v>0.5</v>
      </c>
      <c r="M33" s="104">
        <f t="shared" si="1"/>
        <v>0.5</v>
      </c>
      <c r="N33" s="102">
        <f t="shared" si="2"/>
        <v>5.1546391752577319E-3</v>
      </c>
      <c r="O33" s="102">
        <f t="shared" si="3"/>
        <v>1.5463917525773196E-2</v>
      </c>
    </row>
    <row r="34" spans="1:15" x14ac:dyDescent="0.2">
      <c r="A34" s="113" t="s">
        <v>3882</v>
      </c>
      <c r="B34" s="44" t="str">
        <f>IF(LEN(VLOOKUP(A34,'Species List'!$A:$G,2,FALSE))=0,"",VLOOKUP(A34,'Species List'!$A:$G,2,FALSE))</f>
        <v>black-eyed susan</v>
      </c>
      <c r="C34" s="44">
        <f>IF(LEN(VLOOKUP(A34,'Species List'!$A:$G,3,FALSE))=0,"",VLOOKUP(A34,'Species List'!$A:$G,3,FALSE))</f>
        <v>4</v>
      </c>
      <c r="D34" s="103">
        <f t="shared" si="0"/>
        <v>4</v>
      </c>
      <c r="E34" s="44" t="str">
        <f>IF(LEN(VLOOKUP(A34,'Species List'!$A:$G,4,FALSE))=0,"",VLOOKUP(A34,'Species List'!$A:$G,4,FALSE))</f>
        <v/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FACU</v>
      </c>
      <c r="H34" s="44">
        <f>VLOOKUP(A34,'Species List'!$A:$G,7,FALSE)</f>
        <v>0</v>
      </c>
      <c r="J34" s="111" t="s">
        <v>5418</v>
      </c>
      <c r="K34" s="47" t="str">
        <f>VLOOKUP(J34,'Species List'!$H$1:$J$9,2,FALSE)</f>
        <v>&gt;1-5%</v>
      </c>
      <c r="L34" s="47">
        <f>VLOOKUP(K34,'Species List'!$I$1:$N$8,2,FALSE)</f>
        <v>3</v>
      </c>
      <c r="M34" s="104">
        <f t="shared" si="1"/>
        <v>3</v>
      </c>
      <c r="N34" s="102">
        <f t="shared" si="2"/>
        <v>3.0927835051546393E-2</v>
      </c>
      <c r="O34" s="102">
        <f t="shared" si="3"/>
        <v>0.12371134020618557</v>
      </c>
    </row>
    <row r="35" spans="1:15" x14ac:dyDescent="0.2">
      <c r="A35" s="113" t="s">
        <v>2187</v>
      </c>
      <c r="B35" s="44" t="str">
        <f>IF(LEN(VLOOKUP(A35,'Species List'!$A:$G,2,FALSE))=0,"",VLOOKUP(A35,'Species List'!$A:$G,2,FALSE))</f>
        <v/>
      </c>
      <c r="C35" s="44">
        <f>IF(LEN(VLOOKUP(A35,'Species List'!$A:$G,3,FALSE))=0,"",VLOOKUP(A35,'Species List'!$A:$G,3,FALSE))</f>
        <v>4</v>
      </c>
      <c r="D35" s="103">
        <f t="shared" si="0"/>
        <v>4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FACU+</v>
      </c>
      <c r="H35" s="44">
        <f>VLOOKUP(A35,'Species List'!$A:$G,7,FALSE)</f>
        <v>0</v>
      </c>
      <c r="J35" s="111" t="s">
        <v>5418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4">
        <f t="shared" si="1"/>
        <v>3</v>
      </c>
      <c r="N35" s="102">
        <f t="shared" si="2"/>
        <v>3.0927835051546393E-2</v>
      </c>
      <c r="O35" s="102">
        <f t="shared" si="3"/>
        <v>0.12371134020618557</v>
      </c>
    </row>
    <row r="36" spans="1:15" x14ac:dyDescent="0.2">
      <c r="A36" s="113" t="s">
        <v>3623</v>
      </c>
      <c r="B36" s="44" t="str">
        <f>IF(LEN(VLOOKUP(A36,'Species List'!$A:$G,2,FALSE))=0,"",VLOOKUP(A36,'Species List'!$A:$G,2,FALSE))</f>
        <v>rough-fruited cinquefoil</v>
      </c>
      <c r="C36" s="44">
        <f>IF(LEN(VLOOKUP(A36,'Species List'!$A:$G,3,FALSE))=0,"",VLOOKUP(A36,'Species List'!$A:$G,3,FALSE))</f>
        <v>0</v>
      </c>
      <c r="D36" s="103">
        <f t="shared" si="0"/>
        <v>0</v>
      </c>
      <c r="E36" s="44" t="str">
        <f>IF(LEN(VLOOKUP(A36,'Species List'!$A:$G,4,FALSE))=0,"",VLOOKUP(A36,'Species List'!$A:$G,4,FALSE))</f>
        <v>H</v>
      </c>
      <c r="F36" s="44" t="str">
        <f>IF(LEN(VLOOKUP(A36,'Species List'!$A:$G,5,FALSE))=0,"",VLOOKUP(A36,'Species List'!$A:$G,5,FALSE))</f>
        <v>Introduced</v>
      </c>
      <c r="G36" s="44" t="str">
        <f>IF(LEN(VLOOKUP(A36,'Species List'!$A:$G,6,FALSE))=0,"",VLOOKUP(A36,'Species List'!$A:$G,6,FALSE))</f>
        <v/>
      </c>
      <c r="H36" s="44">
        <f>VLOOKUP(A36,'Species List'!$A:$G,7,FALSE)</f>
        <v>0</v>
      </c>
      <c r="J36" s="111" t="s">
        <v>5418</v>
      </c>
      <c r="K36" s="47" t="str">
        <f>VLOOKUP(J36,'Species List'!$H$1:$J$9,2,FALSE)</f>
        <v>&gt;1-5%</v>
      </c>
      <c r="L36" s="47">
        <f>VLOOKUP(K36,'Species List'!$I$1:$N$8,2,FALSE)</f>
        <v>3</v>
      </c>
      <c r="M36" s="104">
        <f t="shared" si="1"/>
        <v>3</v>
      </c>
      <c r="N36" s="102">
        <f t="shared" si="2"/>
        <v>3.0927835051546393E-2</v>
      </c>
      <c r="O36" s="102">
        <f t="shared" si="3"/>
        <v>0</v>
      </c>
    </row>
    <row r="37" spans="1:15" x14ac:dyDescent="0.2">
      <c r="A37" s="113" t="s">
        <v>2241</v>
      </c>
      <c r="B37" s="44" t="str">
        <f>IF(LEN(VLOOKUP(A37,'Species List'!$A:$G,2,FALSE))=0,"",VLOOKUP(A37,'Species List'!$A:$G,2,FALSE))</f>
        <v>white avens</v>
      </c>
      <c r="C37" s="44">
        <f>IF(LEN(VLOOKUP(A37,'Species List'!$A:$G,3,FALSE))=0,"",VLOOKUP(A37,'Species List'!$A:$G,3,FALSE))</f>
        <v>2</v>
      </c>
      <c r="D37" s="103">
        <f t="shared" si="0"/>
        <v>2</v>
      </c>
      <c r="E37" s="44" t="str">
        <f>IF(LEN(VLOOKUP(A37,'Species List'!$A:$G,4,FALSE))=0,"",VLOOKUP(A37,'Species List'!$A:$G,4,FALSE))</f>
        <v>H</v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>FAC</v>
      </c>
      <c r="H37" s="44">
        <f>VLOOKUP(A37,'Species List'!$A:$G,7,FALSE)</f>
        <v>0</v>
      </c>
      <c r="J37" s="111" t="s">
        <v>5420</v>
      </c>
      <c r="K37" s="47" t="str">
        <f>VLOOKUP(J37,'Species List'!$H$1:$J$9,2,FALSE)</f>
        <v>&gt;0-1%</v>
      </c>
      <c r="L37" s="47">
        <f>VLOOKUP(K37,'Species List'!$I$1:$N$8,2,FALSE)</f>
        <v>0.5</v>
      </c>
      <c r="M37" s="104">
        <f t="shared" si="1"/>
        <v>0.5</v>
      </c>
      <c r="N37" s="102">
        <f t="shared" si="2"/>
        <v>5.1546391752577319E-3</v>
      </c>
      <c r="O37" s="102">
        <f t="shared" si="3"/>
        <v>1.0309278350515464E-2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0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1"/>
        <v>#N/A</v>
      </c>
      <c r="N38" s="102" t="e">
        <f t="shared" si="2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0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1"/>
        <v>#N/A</v>
      </c>
      <c r="N39" s="102" t="e">
        <f t="shared" si="2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0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102" t="e">
        <f t="shared" si="2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2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39" t="s">
        <v>5387</v>
      </c>
      <c r="J151" s="140"/>
      <c r="K151" s="141"/>
      <c r="L151" s="63">
        <f>SUMIF(L10:L150,"&gt;=0")</f>
        <v>97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A47:A150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C14" sqref="C14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37" t="s">
        <v>127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38"/>
      <c r="C7" s="138"/>
      <c r="D7" s="138"/>
      <c r="E7" s="138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5442</v>
      </c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6" t="s">
        <v>4035</v>
      </c>
      <c r="B12" s="44" t="str">
        <f>IF(LEN(VLOOKUP(A12,'Species List'!$A:$G,2,FALSE))=0,"",VLOOKUP(A12,'Species List'!$A:$G,2,FALSE))</f>
        <v/>
      </c>
      <c r="C12" s="44">
        <f>IF(LEN(VLOOKUP(A12,'Species List'!$A:$G,3,FALSE))=0,"",VLOOKUP(A12,'Species List'!$A:$G,3,FALSE))</f>
        <v>5</v>
      </c>
      <c r="D12" s="103">
        <f>VALUE(C12)</f>
        <v>5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[FACU-]</v>
      </c>
      <c r="H12" s="44">
        <f>VLOOKUP(A12,'Species List'!$A:$G,7,FALSE)</f>
        <v>0</v>
      </c>
      <c r="J12" s="115">
        <v>2</v>
      </c>
      <c r="K12" s="47" t="str">
        <f>VLOOKUP(J12,'Species List'!$H$1:$J$9,2,FALSE)</f>
        <v>&gt;5-25%</v>
      </c>
      <c r="L12" s="47">
        <f>VLOOKUP(K12,'Species List'!$I$1:$N$8,2,FALSE)</f>
        <v>15</v>
      </c>
      <c r="M12" s="104">
        <f>VALUE(L12)</f>
        <v>15</v>
      </c>
      <c r="N12" s="102">
        <f t="shared" ref="N12:N75" si="0">L12/$L$151</f>
        <v>0.44776119402985076</v>
      </c>
      <c r="O12" s="31">
        <f>D12*N12</f>
        <v>2.238805970149254</v>
      </c>
    </row>
    <row r="13" spans="1:15" x14ac:dyDescent="0.2">
      <c r="A13" s="113" t="s">
        <v>1716</v>
      </c>
      <c r="B13" s="44" t="str">
        <f>IF(LEN(VLOOKUP(A13,'Species List'!$A:$G,2,FALSE))=0,"",VLOOKUP(A13,'Species List'!$A:$G,2,FALSE))</f>
        <v>fall witch grass</v>
      </c>
      <c r="C13" s="44">
        <f>IF(LEN(VLOOKUP(A13,'Species List'!$A:$G,3,FALSE))=0,"",VLOOKUP(A13,'Species List'!$A:$G,3,FALSE))</f>
        <v>2</v>
      </c>
      <c r="D13" s="103">
        <f t="shared" ref="D13:D18" si="1">VALUE(C13)</f>
        <v>2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/>
      </c>
      <c r="H13" s="44">
        <f>VLOOKUP(A13,'Species List'!$A:$G,7,FALSE)</f>
        <v>0</v>
      </c>
      <c r="J13" s="115">
        <v>1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2">VALUE(L13)</f>
        <v>3</v>
      </c>
      <c r="N13" s="102">
        <f t="shared" si="0"/>
        <v>8.9552238805970144E-2</v>
      </c>
      <c r="O13" s="102">
        <f t="shared" ref="O13:O76" si="3">D13*N13</f>
        <v>0.17910447761194029</v>
      </c>
    </row>
    <row r="14" spans="1:15" x14ac:dyDescent="0.2">
      <c r="A14" s="113" t="s">
        <v>4949</v>
      </c>
      <c r="B14" s="44" t="str">
        <f>IF(LEN(VLOOKUP(A14,'Species List'!$A:$G,2,FALSE))=0,"",VLOOKUP(A14,'Species List'!$A:$G,2,FALSE))</f>
        <v/>
      </c>
      <c r="C14" s="44">
        <v>3</v>
      </c>
      <c r="D14" s="103">
        <f t="shared" si="1"/>
        <v>3</v>
      </c>
      <c r="E14" s="44" t="str">
        <f>IF(LEN(VLOOKUP(A14,'Species List'!$A:$G,4,FALSE))=0,"",VLOOKUP(A14,'Species List'!$A:$G,4,FALSE))</f>
        <v/>
      </c>
      <c r="F14" s="44" t="s">
        <v>147</v>
      </c>
      <c r="G14" s="44" t="str">
        <f>IF(LEN(VLOOKUP(A14,'Species List'!$A:$G,6,FALSE))=0,"",VLOOKUP(A14,'Species List'!$A:$G,6,FALSE))</f>
        <v/>
      </c>
      <c r="H14" s="44">
        <f>VLOOKUP(A14,'Species List'!$A:$G,7,FALSE)</f>
        <v>0</v>
      </c>
      <c r="J14" s="115">
        <v>1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2"/>
        <v>3</v>
      </c>
      <c r="N14" s="102">
        <f t="shared" si="0"/>
        <v>8.9552238805970144E-2</v>
      </c>
      <c r="O14" s="102">
        <f t="shared" si="3"/>
        <v>0.26865671641791045</v>
      </c>
    </row>
    <row r="15" spans="1:15" x14ac:dyDescent="0.2">
      <c r="A15" s="113" t="s">
        <v>2001</v>
      </c>
      <c r="B15" s="44" t="str">
        <f>IF(LEN(VLOOKUP(A15,'Species List'!$A:$G,2,FALSE))=0,"",VLOOKUP(A15,'Species List'!$A:$G,2,FALSE))</f>
        <v>hairy cupgrass</v>
      </c>
      <c r="C15" s="44">
        <f>IF(LEN(VLOOKUP(A15,'Species List'!$A:$G,3,FALSE))=0,"",VLOOKUP(A15,'Species List'!$A:$G,3,FALSE))</f>
        <v>0</v>
      </c>
      <c r="D15" s="103">
        <f t="shared" si="1"/>
        <v>0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Introduced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15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102">
        <f t="shared" si="0"/>
        <v>8.9552238805970144E-2</v>
      </c>
      <c r="O15" s="102">
        <f t="shared" si="3"/>
        <v>0</v>
      </c>
    </row>
    <row r="16" spans="1:15" x14ac:dyDescent="0.2">
      <c r="A16" s="113" t="s">
        <v>784</v>
      </c>
      <c r="B16" s="44" t="str">
        <f>IF(LEN(VLOOKUP(A16,'Species List'!$A:$G,2,FALSE))=0,"",VLOOKUP(A16,'Species List'!$A:$G,2,FALSE))</f>
        <v>smooth brome</v>
      </c>
      <c r="C16" s="44">
        <f>IF(LEN(VLOOKUP(A16,'Species List'!$A:$G,3,FALSE))=0,"",VLOOKUP(A16,'Species List'!$A:$G,3,FALSE))</f>
        <v>0</v>
      </c>
      <c r="D16" s="103">
        <f t="shared" si="1"/>
        <v>0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Introduced</v>
      </c>
      <c r="G16" s="44" t="str">
        <f>IF(LEN(VLOOKUP(A16,'Species List'!$A:$G,6,FALSE))=0,"",VLOOKUP(A16,'Species List'!$A:$G,6,FALSE))</f>
        <v>FACU</v>
      </c>
      <c r="H16" s="44">
        <f>VLOOKUP(A16,'Species List'!$A:$G,7,FALSE)</f>
        <v>0</v>
      </c>
      <c r="J16" s="115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102">
        <f t="shared" si="0"/>
        <v>8.9552238805970144E-2</v>
      </c>
      <c r="O16" s="102">
        <f t="shared" si="3"/>
        <v>0</v>
      </c>
    </row>
    <row r="17" spans="1:15" x14ac:dyDescent="0.2">
      <c r="A17" s="113" t="s">
        <v>1567</v>
      </c>
      <c r="B17" s="44" t="str">
        <f>IF(LEN(VLOOKUP(A17,'Species List'!$A:$G,2,FALSE))=0,"",VLOOKUP(A17,'Species List'!$A:$G,2,FALSE))</f>
        <v>slender nut sedge</v>
      </c>
      <c r="C17" s="44">
        <f>IF(LEN(VLOOKUP(A17,'Species List'!$A:$G,3,FALSE))=0,"",VLOOKUP(A17,'Species List'!$A:$G,3,FALSE))</f>
        <v>6</v>
      </c>
      <c r="D17" s="103">
        <f t="shared" si="1"/>
        <v>6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[FACU-]</v>
      </c>
      <c r="H17" s="44">
        <f>VLOOKUP(A17,'Species List'!$A:$G,7,FALSE)</f>
        <v>0</v>
      </c>
      <c r="J17" s="115" t="s">
        <v>5420</v>
      </c>
      <c r="K17" s="47" t="str">
        <f>VLOOKUP(J17,'Species List'!$H$1:$J$9,2,FALSE)</f>
        <v>&gt;0-1%</v>
      </c>
      <c r="L17" s="47">
        <f>VLOOKUP(K17,'Species List'!$I$1:$N$8,2,FALSE)</f>
        <v>0.5</v>
      </c>
      <c r="M17" s="104">
        <f t="shared" si="2"/>
        <v>0.5</v>
      </c>
      <c r="N17" s="102">
        <f t="shared" si="0"/>
        <v>1.4925373134328358E-2</v>
      </c>
      <c r="O17" s="102">
        <f t="shared" si="3"/>
        <v>8.9552238805970144E-2</v>
      </c>
    </row>
    <row r="18" spans="1:15" x14ac:dyDescent="0.2">
      <c r="A18" s="113" t="s">
        <v>1883</v>
      </c>
      <c r="B18" s="44" t="str">
        <f>IF(LEN(VLOOKUP(A18,'Species List'!$A:$G,2,FALSE))=0,"",VLOOKUP(A18,'Species List'!$A:$G,2,FALSE))</f>
        <v>quackgrass</v>
      </c>
      <c r="C18" s="44">
        <f>IF(LEN(VLOOKUP(A18,'Species List'!$A:$G,3,FALSE))=0,"",VLOOKUP(A18,'Species List'!$A:$G,3,FALSE))</f>
        <v>0</v>
      </c>
      <c r="D18" s="103">
        <f t="shared" si="1"/>
        <v>0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Introduced</v>
      </c>
      <c r="G18" s="44" t="str">
        <f>IF(LEN(VLOOKUP(A18,'Species List'!$A:$G,6,FALSE))=0,"",VLOOKUP(A18,'Species List'!$A:$G,6,FALSE))</f>
        <v>[FACU]</v>
      </c>
      <c r="H18" s="44">
        <f>VLOOKUP(A18,'Species List'!$A:$G,7,FALSE)</f>
        <v>0</v>
      </c>
      <c r="J18" s="115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2"/>
        <v>3</v>
      </c>
      <c r="N18" s="102">
        <f t="shared" si="0"/>
        <v>8.9552238805970144E-2</v>
      </c>
      <c r="O18" s="102">
        <f t="shared" si="3"/>
        <v>0</v>
      </c>
    </row>
    <row r="19" spans="1:15" x14ac:dyDescent="0.2">
      <c r="A19" s="113" t="s">
        <v>3445</v>
      </c>
      <c r="B19" s="44" t="str">
        <f>IF(LEN(VLOOKUP(A19,'Species List'!$A:$G,2,FALSE))=0,"",VLOOKUP(A19,'Species List'!$A:$G,2,FALSE))</f>
        <v>Kentucky bluegrass</v>
      </c>
      <c r="C19" s="44">
        <f>IF(LEN(VLOOKUP(A19,'Species List'!$A:$G,3,FALSE))=0,"",VLOOKUP(A19,'Species List'!$A:$G,3,FALSE))</f>
        <v>0</v>
      </c>
      <c r="D19" s="103">
        <f t="shared" ref="D19:D76" si="4">VALUE(C19)</f>
        <v>0</v>
      </c>
      <c r="E19" s="44" t="str">
        <f>IF(LEN(VLOOKUP(A19,'Species List'!$A:$G,4,FALSE))=0,"",VLOOKUP(A19,'Species List'!$A:$G,4,FALSE))</f>
        <v>G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FAC</v>
      </c>
      <c r="H19" s="44">
        <f>VLOOKUP(A19,'Species List'!$A:$G,7,FALSE)</f>
        <v>0</v>
      </c>
      <c r="J19" s="115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102">
        <f t="shared" si="0"/>
        <v>8.9552238805970144E-2</v>
      </c>
      <c r="O19" s="102">
        <f t="shared" si="3"/>
        <v>0</v>
      </c>
    </row>
    <row r="20" spans="1:15" x14ac:dyDescent="0.2">
      <c r="A20" s="95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3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5"/>
      <c r="K20" s="47" t="e">
        <f>VLOOKUP(J20,'Species List'!$H$1:$J$9,2,FALSE)</f>
        <v>#N/A</v>
      </c>
      <c r="L20" s="47" t="e">
        <f>VLOOKUP(K20,'Species List'!$I$1:$N$8,2,FALSE)</f>
        <v>#N/A</v>
      </c>
      <c r="M20" s="104" t="e">
        <f t="shared" si="2"/>
        <v>#N/A</v>
      </c>
      <c r="N20" s="102" t="e">
        <f t="shared" si="0"/>
        <v>#N/A</v>
      </c>
      <c r="O20" s="102" t="e">
        <f t="shared" si="3"/>
        <v>#N/A</v>
      </c>
    </row>
    <row r="21" spans="1:15" x14ac:dyDescent="0.2">
      <c r="A21" s="95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3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2"/>
        <v>#N/A</v>
      </c>
      <c r="N21" s="102" t="e">
        <f t="shared" si="0"/>
        <v>#N/A</v>
      </c>
      <c r="O21" s="102" t="e">
        <f t="shared" si="3"/>
        <v>#N/A</v>
      </c>
    </row>
    <row r="22" spans="1:15" x14ac:dyDescent="0.2">
      <c r="A22" s="95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102" t="e">
        <f t="shared" si="0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39" t="s">
        <v>5387</v>
      </c>
      <c r="J151" s="140"/>
      <c r="K151" s="141"/>
      <c r="L151" s="63">
        <f>SUMIF(L10:L150,"&gt;=0")</f>
        <v>33.5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A19:A150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2" t="s">
        <v>4840</v>
      </c>
      <c r="B1" s="142"/>
      <c r="C1" s="142"/>
      <c r="D1" s="142"/>
      <c r="E1" s="142"/>
      <c r="F1" s="142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6">
        <f>COUNTIF(Woody!$F$10:$F$149,"Native")</f>
        <v>11</v>
      </c>
      <c r="C4" s="106">
        <f>COUNTIF(Forbs!$F$10:$F$148,"Native")</f>
        <v>22</v>
      </c>
      <c r="D4" s="106">
        <f>COUNTIF(Grasses!$F$10:$F$149,"Native")</f>
        <v>4</v>
      </c>
      <c r="E4" s="106">
        <f>AVERAGE(B4:D4)</f>
        <v>12.333333333333334</v>
      </c>
      <c r="F4" s="106">
        <f>SUM(B4:D4)</f>
        <v>37</v>
      </c>
    </row>
    <row r="5" spans="1:6" ht="17.399999999999999" x14ac:dyDescent="0.3">
      <c r="A5" s="53" t="s">
        <v>4845</v>
      </c>
      <c r="B5" s="106">
        <f>COUNTIF(Woody!$F10:$F199,"Introduced")</f>
        <v>6</v>
      </c>
      <c r="C5" s="106">
        <f>COUNTIF(Forbs!$F10:$F199,"Introduced")</f>
        <v>4</v>
      </c>
      <c r="D5" s="106">
        <f>COUNTIF(Grasses!$F10:$F199,"Introduced")</f>
        <v>4</v>
      </c>
      <c r="E5" s="106">
        <f t="shared" ref="E5:E6" si="0">AVERAGE(B5:D5)</f>
        <v>4.666666666666667</v>
      </c>
      <c r="F5" s="106">
        <f>SUM(B5:D5)</f>
        <v>14</v>
      </c>
    </row>
    <row r="6" spans="1:6" s="83" customFormat="1" ht="19.8" x14ac:dyDescent="0.4">
      <c r="A6" s="53" t="s">
        <v>5422</v>
      </c>
      <c r="B6" s="106">
        <f>SUM(B4:B5)</f>
        <v>17</v>
      </c>
      <c r="C6" s="106">
        <f>SUM(C4:C5)</f>
        <v>26</v>
      </c>
      <c r="D6" s="106">
        <f>SUM(D4:D5)</f>
        <v>8</v>
      </c>
      <c r="E6" s="106">
        <f t="shared" si="0"/>
        <v>17</v>
      </c>
      <c r="F6" s="106">
        <f>SUM(B6:D6)</f>
        <v>51</v>
      </c>
    </row>
    <row r="7" spans="1:6" ht="17.399999999999999" x14ac:dyDescent="0.3">
      <c r="A7" s="53" t="s">
        <v>4846</v>
      </c>
      <c r="B7" s="106">
        <f>AVERAGEIF(Woody!D12:D150,"&gt;0")</f>
        <v>2.9090909090909092</v>
      </c>
      <c r="C7" s="106">
        <f>AVERAGEIF(Forbs!D12:D150,"&gt;0")</f>
        <v>2.8</v>
      </c>
      <c r="D7" s="106">
        <f>AVERAGEIF(Grasses!D12:D150,"&gt;0")</f>
        <v>4</v>
      </c>
      <c r="E7" s="106">
        <f>AVERAGE(B7:D7)</f>
        <v>3.2363636363636363</v>
      </c>
      <c r="F7" s="106">
        <f>(SUMIF(Woody!D12:D150,"&gt;0")+SUMIF(Forbs!D12:D150,"&gt;0")+SUMIF(Grasses!D12:D150,"&gt;0"))/(COUNTIF(Woody!D12:D150,"&gt;0")+COUNTIF(Forbs!D12:D150,"&gt;0")+COUNTIF(Grasses!D12:D150,"&gt;0"))</f>
        <v>2.9714285714285715</v>
      </c>
    </row>
    <row r="8" spans="1:6" s="31" customFormat="1" ht="19.8" x14ac:dyDescent="0.4">
      <c r="A8" s="53" t="s">
        <v>5423</v>
      </c>
      <c r="B8" s="106">
        <f>AVERAGEIF(Woody!D12:D150,"&gt;=0")</f>
        <v>1.8823529411764706</v>
      </c>
      <c r="C8" s="106">
        <f>AVERAGEIF(Forbs!D12:D150,"&gt;=0")</f>
        <v>2.1538461538461537</v>
      </c>
      <c r="D8" s="106">
        <f>AVERAGEIF(Grasses!D12:D150,"&gt;=0")</f>
        <v>2</v>
      </c>
      <c r="E8" s="106">
        <f>AVERAGE(B8:D8)</f>
        <v>2.0120663650075414</v>
      </c>
      <c r="F8" s="106">
        <f>(SUMIF(Woody!D12:D150,"&gt;=0")+SUMIF(Forbs!D12:D150,"&gt;=0")+SUMIF(Grasses!D12:D150,"&gt;=0"))/(COUNTIF(Woody!D12:D150,"&gt;=0")+COUNTIF(Forbs!D12:D150,"&gt;=0")+COUNTIF(Grasses!D12:D150,"&gt;=0"))</f>
        <v>2.0392156862745097</v>
      </c>
    </row>
    <row r="9" spans="1:6" ht="17.399999999999999" x14ac:dyDescent="0.3">
      <c r="A9" s="53" t="s">
        <v>4839</v>
      </c>
      <c r="B9" s="106">
        <f>SQRT(B4)*B7</f>
        <v>9.6483630264884361</v>
      </c>
      <c r="C9" s="106">
        <f>SQRT(C4)*C7</f>
        <v>13.133164127505603</v>
      </c>
      <c r="D9" s="106">
        <f>SQRT(D4)*D7</f>
        <v>8</v>
      </c>
      <c r="E9" s="106">
        <f>SQRT(E4)*E7</f>
        <v>11.365735563683561</v>
      </c>
      <c r="F9" s="106">
        <f>SQRT(F4)*F7</f>
        <v>18.074494375743281</v>
      </c>
    </row>
    <row r="10" spans="1:6" s="84" customFormat="1" ht="19.8" x14ac:dyDescent="0.4">
      <c r="A10" s="53" t="s">
        <v>5424</v>
      </c>
      <c r="B10" s="106">
        <f>SQRT(B6)*B8</f>
        <v>7.761140001162655</v>
      </c>
      <c r="C10" s="106">
        <f>SQRT(C6)*C8</f>
        <v>10.982503567738304</v>
      </c>
      <c r="D10" s="106">
        <f>SQRT(D6)*D8</f>
        <v>5.6568542494923806</v>
      </c>
      <c r="E10" s="106">
        <f>SQRT(E6)*E8</f>
        <v>8.2959621486786705</v>
      </c>
      <c r="F10" s="106">
        <f>SQRT(F6)*F8</f>
        <v>14.562912873891301</v>
      </c>
    </row>
    <row r="11" spans="1:6" ht="17.399999999999999" x14ac:dyDescent="0.3">
      <c r="A11" s="53" t="s">
        <v>4847</v>
      </c>
      <c r="B11" s="106">
        <f>SUMIF(Woody!$M$10:$M$150,"&gt;=0")</f>
        <v>48</v>
      </c>
      <c r="C11" s="106">
        <f>SUMIF(Forbs!$M$10:$M$151,"&gt;=0")</f>
        <v>97</v>
      </c>
      <c r="D11" s="106">
        <f>SUMIF(Grasses!$M$10:$M$150,"&gt;=0")</f>
        <v>33.5</v>
      </c>
      <c r="E11" s="106">
        <f>AVERAGE(B11:D11)</f>
        <v>59.5</v>
      </c>
      <c r="F11" s="106">
        <f>SUM(B11:D11)</f>
        <v>178.5</v>
      </c>
    </row>
    <row r="12" spans="1:6" ht="17.399999999999999" x14ac:dyDescent="0.3">
      <c r="A12" s="53" t="s">
        <v>5388</v>
      </c>
      <c r="B12" s="106">
        <f>SUMIF(Woody!$F$10:$F$150,"Introduced",Woody!$L$10:$L$150)</f>
        <v>10.5</v>
      </c>
      <c r="C12" s="106">
        <f>SUMIF(Forbs!$F$10:$F$151,"Introduced",Forbs!$L$10:$L$151)</f>
        <v>12</v>
      </c>
      <c r="D12" s="106">
        <f>SUMIF(Grasses!$F$10:$F$150,"Introduced",Grasses!$L$10:$L$150)</f>
        <v>12</v>
      </c>
      <c r="E12" s="106">
        <f>AVERAGE(B12:D12)</f>
        <v>11.5</v>
      </c>
      <c r="F12" s="106">
        <f>SUM(B12:D12)</f>
        <v>34.5</v>
      </c>
    </row>
    <row r="13" spans="1:6" ht="18" thickBot="1" x14ac:dyDescent="0.35">
      <c r="A13" s="54" t="s">
        <v>4848</v>
      </c>
      <c r="B13" s="107">
        <f>B12/B11</f>
        <v>0.21875</v>
      </c>
      <c r="C13" s="107">
        <f>C12/C11</f>
        <v>0.12371134020618557</v>
      </c>
      <c r="D13" s="107">
        <f>D12/D11</f>
        <v>0.35820895522388058</v>
      </c>
      <c r="E13" s="107">
        <f>E12/E11</f>
        <v>0.19327731092436976</v>
      </c>
      <c r="F13" s="107">
        <f>F12/F11</f>
        <v>0.19327731092436976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5">
        <f>SUMIF(Woody!$O$10:$O$150,"&gt;=0")</f>
        <v>2.7812500000000004</v>
      </c>
      <c r="C15" s="105">
        <f>SUMIF(Forbs!$O$10:$O$150,"&gt;=0")</f>
        <v>2.3453608247422677</v>
      </c>
      <c r="D15" s="105">
        <f>SUMIF(Grasses!$O$10:$O$150,"&gt;=0")</f>
        <v>2.7761194029850746</v>
      </c>
      <c r="E15" s="105">
        <f>AVERAGE(B15:D15)</f>
        <v>2.6342434092424476</v>
      </c>
      <c r="F15" s="106">
        <f>SUM(B15:D15)</f>
        <v>7.9027302277273428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2022-02-03T19:52:07Z</dcterms:modified>
</cp:coreProperties>
</file>