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323EB2A4-FCD9-4264-AE4E-BCEA0879B2BF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8" i="6"/>
  <c r="C19" i="6"/>
  <c r="C20" i="6"/>
  <c r="C20" i="10"/>
  <c r="C22" i="10"/>
  <c r="C23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D27" i="9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D12" i="7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<sst xmlns="http://schemas.openxmlformats.org/spreadsheetml/2006/main" count="13122" uniqueCount="5450">
  <si>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</si>
  <si>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</si>
  <si>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</si>
  <si>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</si>
  <si>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</si>
  <si>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</si>
  <si>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</si>
  <si>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</si>
  <si>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</si>
  <si>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</si>
  <si>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</si>
  <si>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</si>
  <si>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</si>
  <si>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</si>
  <si>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</si>
  <si>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</si>
  <si>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</si>
  <si>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</si>
  <si>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</si>
  <si>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</si>
  <si>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</si>
  <si>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</si>
  <si>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</si>
  <si>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</si>
  <si>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</si>
  <si>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</si>
  <si>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</si>
  <si>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</si>
  <si>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</si>
  <si>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</si>
  <si>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</si>
  <si>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</si>
  <si>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</si>
  <si>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</si>
  <si>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</si>
  <si>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</si>
  <si>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</si>
  <si>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</si>
  <si>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</si>
  <si>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</si>
  <si>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</si>
  <si>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</si>
  <si>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</si>
  <si>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</si>
  <si>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</si>
  <si>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</si>
  <si>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</si>
  <si>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</si>
  <si>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</si>
  <si>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</si>
  <si>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</si>
  <si>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</si>
  <si>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</si>
  <si>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</si>
  <si>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</si>
  <si>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</si>
  <si>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</si>
  <si>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</si>
  <si>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</si>
  <si>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</si>
  <si>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</si>
  <si>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</si>
  <si>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</si>
  <si>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</si>
  <si>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</si>
  <si>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</si>
  <si>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</si>
  <si>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</si>
  <si>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</si>
  <si>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</si>
  <si>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</si>
  <si>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</si>
  <si>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</si>
  <si>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</si>
  <si>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</si>
  <si>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</si>
  <si>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</si>
  <si>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</si>
  <si>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</si>
  <si>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</si>
  <si>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</si>
  <si>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</si>
  <si>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</si>
  <si>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</si>
  <si>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</si>
  <si>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</si>
  <si>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</si>
  <si>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</si>
  <si>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</si>
  <si>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</si>
  <si>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</si>
  <si>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</si>
  <si>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</si>
  <si>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</si>
  <si>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</si>
  <si>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</si>
  <si>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</si>
  <si>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</si>
  <si>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</si>
  <si>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</si>
  <si>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</si>
  <si>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</si>
  <si>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</si>
  <si>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</si>
  <si>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</si>
  <si>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</si>
  <si>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</si>
  <si>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</si>
  <si>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</si>
  <si>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</si>
  <si>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</si>
  <si>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</si>
  <si>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</si>
  <si>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</si>
  <si>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</si>
  <si>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</si>
  <si>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</si>
  <si>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</si>
  <si>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</si>
  <si>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</si>
  <si>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</si>
  <si>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</si>
  <si>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</si>
  <si>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</si>
  <si>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</si>
  <si>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</si>
  <si>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</si>
  <si>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</si>
  <si>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</si>
  <si>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</si>
  <si>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</si>
  <si>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</si>
  <si>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</si>
  <si>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</si>
  <si>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</si>
  <si>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</si>
  <si>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</si>
  <si>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</si>
  <si>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</si>
  <si>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</si>
  <si>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</si>
  <si>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</si>
  <si>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</si>
  <si>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</si>
  <si>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</si>
  <si>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</si>
  <si>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</si>
  <si>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</si>
  <si>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</si>
  <si>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</si>
  <si>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</si>
  <si>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</si>
  <si>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</si>
  <si>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</si>
  <si>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</si>
  <si>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</si>
  <si>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</si>
  <si>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</si>
  <si>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</si>
  <si>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</si>
  <si>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</si>
  <si>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</si>
  <si>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</si>
  <si>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</si>
  <si>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</si>
  <si>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</si>
  <si>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</si>
  <si>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</si>
  <si>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</si>
  <si>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</si>
  <si>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</si>
  <si>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</si>
  <si>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</si>
  <si>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</si>
  <si>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</si>
  <si>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</si>
  <si>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</si>
  <si>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</si>
  <si>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</si>
  <si>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</si>
  <si>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</si>
  <si>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</si>
  <si>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</si>
  <si>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</si>
  <si>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</si>
  <si>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</si>
  <si>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</si>
  <si>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</si>
  <si>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</si>
  <si>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</si>
  <si>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</si>
  <si>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</si>
  <si>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</si>
  <si>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</si>
  <si>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</si>
  <si>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</si>
  <si>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</si>
  <si>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</si>
  <si>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</si>
  <si>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</si>
  <si>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</si>
  <si>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</si>
  <si>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</si>
  <si>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</si>
  <si>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</si>
  <si>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</si>
  <si>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</si>
  <si>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</si>
  <si>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</si>
  <si>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</si>
  <si>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</si>
  <si>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</si>
  <si>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</si>
  <si>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</si>
  <si>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</si>
  <si>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</si>
  <si>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</si>
  <si>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</si>
  <si>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</si>
  <si>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</si>
  <si>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</si>
  <si>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</si>
  <si>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</si>
  <si>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</si>
  <si>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</si>
  <si>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</si>
  <si>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</si>
  <si>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</si>
  <si>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</si>
  <si>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</si>
  <si>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</si>
  <si>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</si>
  <si>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</si>
  <si>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</si>
  <si>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</si>
  <si>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</si>
  <si>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</si>
  <si>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</si>
  <si>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</si>
  <si>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</si>
  <si>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</si>
  <si>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</si>
  <si>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</si>
  <si>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</si>
  <si>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</si>
  <si>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</si>
  <si>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</si>
  <si>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</si>
  <si>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</si>
  <si>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</si>
  <si>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</si>
  <si>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</si>
  <si>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</si>
  <si>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</si>
  <si>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</si>
  <si>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</si>
  <si>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</si>
  <si>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</si>
  <si>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</si>
  <si>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</si>
  <si>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</si>
  <si>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</si>
  <si>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</si>
  <si>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</si>
  <si>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</si>
  <si>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</si>
  <si>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</si>
  <si>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</si>
  <si>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</si>
  <si>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</si>
  <si>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</si>
  <si>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</si>
  <si>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</si>
  <si>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</si>
  <si>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</si>
  <si>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</si>
  <si>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</si>
  <si>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</si>
  <si>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</si>
  <si>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</si>
  <si>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</si>
  <si>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</si>
  <si>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</si>
  <si>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</si>
  <si>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</si>
  <si>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</si>
  <si>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</si>
  <si>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</si>
  <si>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</si>
  <si>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</si>
  <si>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</si>
  <si>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</si>
  <si>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</si>
  <si>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</si>
  <si>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</si>
  <si>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</si>
  <si>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</si>
  <si>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</si>
  <si>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</si>
  <si>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</si>
  <si>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</si>
  <si>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</si>
  <si>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</si>
  <si>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</si>
  <si>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</si>
  <si>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</si>
  <si>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</si>
  <si>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</si>
  <si>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</si>
  <si>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</si>
  <si>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</si>
  <si>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</si>
  <si>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</si>
  <si>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</si>
  <si>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</si>
  <si>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</si>
  <si>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</si>
  <si>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</si>
  <si>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</si>
  <si>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</si>
  <si>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</si>
  <si>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</si>
  <si>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</si>
  <si>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</si>
  <si>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</si>
  <si>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</si>
  <si>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</si>
  <si>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</si>
  <si>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</si>
  <si>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</si>
  <si>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</si>
  <si>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</si>
  <si>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</si>
  <si>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</si>
  <si>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</si>
  <si>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</si>
  <si>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</si>
  <si>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</si>
  <si>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</si>
  <si>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</si>
  <si>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</si>
  <si>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</si>
  <si>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</si>
  <si>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</si>
  <si>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</si>
  <si>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</si>
  <si>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</si>
  <si>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</si>
  <si>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</si>
  <si>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</si>
  <si>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</si>
  <si>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</si>
  <si>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</si>
  <si>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</si>
  <si>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</si>
  <si>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</si>
  <si>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</si>
  <si>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</si>
  <si>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</si>
  <si>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</si>
  <si>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</si>
  <si>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</si>
  <si>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</si>
  <si>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</si>
  <si>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</si>
  <si>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</si>
  <si>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</si>
  <si>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</si>
  <si>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</si>
  <si>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</si>
  <si>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</si>
  <si>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</si>
  <si>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</si>
  <si>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</si>
  <si>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</si>
  <si>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</si>
  <si>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</si>
  <si>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</si>
  <si>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</si>
  <si>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</si>
  <si>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</si>
  <si>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</si>
  <si>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</si>
  <si>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</si>
  <si>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</si>
  <si>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</si>
  <si>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</si>
  <si>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</si>
  <si>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</si>
  <si>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</si>
  <si>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</si>
  <si>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</si>
  <si>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</si>
  <si>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</si>
  <si>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</si>
  <si>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</si>
  <si>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</si>
  <si>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</si>
  <si>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</si>
  <si>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</si>
  <si>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</si>
  <si>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</si>
  <si>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</si>
  <si>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</si>
  <si>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</si>
  <si>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</si>
  <si>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</si>
  <si>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</si>
  <si>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</si>
  <si>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</si>
  <si>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</si>
  <si>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</si>
  <si>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</si>
  <si>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</si>
  <si>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</si>
  <si>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</si>
  <si>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</si>
  <si>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</si>
  <si>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</si>
  <si>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</si>
  <si>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</si>
  <si>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</si>
  <si>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</si>
  <si>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</si>
  <si>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</si>
  <si>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</si>
  <si>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</si>
  <si>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</si>
  <si>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</si>
  <si>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</si>
  <si>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</si>
  <si>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</si>
  <si>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</si>
  <si>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</si>
  <si>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</si>
  <si>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</si>
  <si>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</si>
  <si>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</si>
  <si>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</si>
  <si>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</si>
  <si>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</si>
  <si>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</si>
  <si>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</si>
  <si>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</si>
  <si>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</si>
  <si>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</si>
  <si>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</si>
  <si>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</si>
  <si>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</si>
  <si>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</si>
  <si>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</si>
  <si>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</si>
  <si>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</si>
  <si>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</si>
  <si>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</si>
  <si>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</si>
  <si>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</si>
  <si>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</si>
  <si>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</si>
  <si>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</si>
  <si>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</si>
  <si>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</si>
  <si>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</si>
  <si>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</si>
  <si>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</si>
  <si>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</si>
  <si>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</si>
  <si>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</si>
  <si>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</si>
  <si>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</si>
  <si>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</si>
  <si>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</si>
  <si>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</si>
  <si>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</si>
  <si>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</si>
  <si>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</si>
  <si>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</si>
  <si>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</si>
  <si>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</si>
  <si>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</si>
  <si>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</si>
  <si>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</si>
  <si>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</si>
  <si>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</si>
  <si>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</si>
  <si>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</si>
  <si>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</si>
  <si>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</si>
  <si>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</si>
  <si>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</si>
  <si>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</si>
  <si>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</si>
  <si>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</si>
  <si>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</si>
  <si>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</si>
  <si>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</si>
  <si>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</si>
  <si>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</si>
  <si>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</si>
  <si>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</si>
  <si>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</si>
  <si>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</si>
  <si>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</si>
  <si>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</si>
  <si>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</si>
  <si>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</si>
  <si>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</si>
  <si>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</si>
  <si>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</si>
  <si>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</si>
  <si>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</si>
  <si>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</si>
  <si>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</si>
  <si>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</si>
  <si>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</si>
  <si>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</si>
  <si>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</si>
  <si>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</si>
  <si>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</si>
  <si>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</si>
  <si>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</si>
  <si>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</si>
  <si>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</si>
  <si>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</si>
  <si>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</si>
  <si>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</si>
  <si>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</si>
  <si>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</si>
  <si>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</si>
  <si>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</si>
  <si>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</si>
  <si>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</si>
  <si>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</si>
  <si>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</si>
  <si>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</si>
  <si>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</si>
  <si>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</si>
  <si>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</si>
  <si>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</si>
  <si>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</si>
  <si>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</si>
  <si>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</si>
  <si>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</si>
  <si>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</si>
  <si>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</si>
  <si>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</si>
  <si>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</si>
  <si>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</si>
  <si>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</si>
  <si>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</si>
  <si>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</si>
  <si>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</si>
  <si>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</si>
  <si>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</si>
  <si>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</si>
  <si>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</si>
  <si>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</si>
  <si>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</si>
  <si>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</si>
  <si>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</si>
  <si>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</si>
  <si>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</si>
  <si>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</si>
  <si>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</si>
  <si>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</si>
  <si>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</si>
  <si>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</si>
  <si>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</si>
  <si>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</si>
  <si>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</si>
  <si>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</si>
  <si>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</si>
  <si>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</si>
  <si>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</si>
  <si>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</si>
  <si>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</si>
  <si>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</si>
  <si>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</si>
  <si>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</si>
  <si>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</si>
  <si>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</si>
  <si>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</si>
  <si>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</si>
  <si>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</si>
  <si>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</si>
  <si>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</si>
  <si>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</si>
  <si>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</si>
  <si>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</si>
  <si>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</si>
  <si>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</si>
  <si>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</si>
  <si>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</si>
  <si>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</si>
  <si>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</si>
  <si>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</si>
  <si>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</si>
  <si>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</si>
  <si>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</si>
  <si>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</si>
  <si>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</si>
  <si>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</si>
  <si>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</si>
  <si>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</si>
  <si>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</si>
  <si>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</si>
  <si>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</si>
  <si>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</si>
  <si>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</si>
  <si>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</si>
  <si>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</si>
  <si>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</si>
  <si>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</si>
  <si>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</si>
  <si>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</si>
  <si>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</si>
  <si>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</si>
  <si>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</si>
  <si>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</si>
  <si>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</si>
  <si>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</si>
  <si>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</si>
  <si>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</si>
  <si>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</si>
  <si>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</si>
  <si>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</si>
  <si>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</si>
  <si>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</si>
  <si>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</si>
  <si>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</si>
  <si>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</si>
  <si>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</si>
  <si>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</si>
  <si>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</si>
  <si>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</si>
  <si>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</si>
  <si>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</si>
  <si>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</si>
  <si>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</si>
  <si>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</si>
  <si>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</si>
  <si>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</si>
  <si>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</si>
  <si>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</si>
  <si>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</si>
  <si>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</si>
  <si>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</si>
  <si>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</si>
  <si>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</si>
  <si>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</si>
  <si>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</si>
  <si>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</si>
  <si>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</si>
  <si>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</si>
  <si>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</si>
  <si>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</si>
  <si>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</si>
  <si>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</si>
  <si>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</si>
  <si>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</si>
  <si>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</si>
  <si>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</si>
  <si>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</si>
  <si>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</si>
  <si>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</si>
  <si>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</si>
  <si>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</si>
  <si>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</si>
  <si>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</si>
  <si>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</si>
  <si>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</si>
  <si>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</si>
  <si>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</si>
  <si>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</si>
  <si>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</si>
  <si>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</si>
  <si>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</si>
  <si>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</si>
  <si>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</si>
  <si>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</si>
  <si>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</si>
  <si>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</si>
  <si>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</si>
  <si>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</si>
  <si>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</si>
  <si>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</si>
  <si>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</si>
  <si>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</si>
  <si>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</si>
  <si>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</si>
  <si>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</si>
  <si>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</si>
  <si>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</si>
  <si>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</si>
  <si>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</si>
  <si>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</si>
  <si>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</si>
  <si>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</si>
  <si>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</si>
  <si>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</si>
  <si>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</si>
  <si>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</si>
  <si>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</si>
  <si>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</si>
  <si>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</si>
  <si>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</si>
  <si>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</si>
  <si>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</si>
  <si>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</si>
  <si>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</si>
  <si>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</si>
  <si>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</si>
  <si>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</si>
  <si>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</si>
  <si>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</si>
  <si>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</si>
  <si>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</si>
  <si>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</si>
  <si>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</si>
  <si>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</si>
  <si>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</si>
  <si>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</si>
  <si>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</si>
  <si>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</si>
  <si>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</si>
  <si>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</si>
  <si>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</si>
  <si>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</si>
  <si>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</si>
  <si>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</si>
  <si>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</si>
  <si>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</si>
  <si>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</si>
  <si>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</si>
  <si>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</si>
  <si>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</si>
  <si>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</si>
  <si>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</si>
  <si>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</si>
  <si>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</si>
  <si>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</si>
  <si>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</si>
  <si>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</si>
  <si>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</si>
  <si>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</si>
  <si>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</si>
  <si>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</si>
  <si>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</si>
  <si>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</si>
  <si>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</si>
  <si>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</si>
  <si>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</si>
  <si>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</si>
  <si>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</si>
  <si>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</si>
  <si>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</si>
  <si>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</si>
  <si>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</si>
  <si>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</si>
  <si>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</si>
  <si>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</si>
  <si>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</si>
  <si>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</si>
  <si>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</si>
  <si>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</si>
  <si>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</si>
  <si>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</si>
  <si>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</si>
  <si>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</si>
  <si>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</si>
  <si>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</si>
  <si>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</si>
  <si>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</si>
  <si>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</si>
  <si>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</si>
  <si>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</si>
  <si>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</si>
  <si>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</si>
  <si>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</si>
  <si>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</si>
  <si>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</si>
  <si>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</si>
  <si>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</si>
  <si>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</si>
  <si>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</si>
  <si>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</si>
  <si>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</si>
  <si>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</si>
  <si>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</si>
  <si>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</si>
  <si>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</si>
  <si>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</si>
  <si>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</si>
  <si>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</si>
  <si>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</si>
  <si>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</si>
  <si>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</si>
  <si>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</si>
  <si>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</si>
  <si>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</si>
  <si>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</si>
  <si>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</si>
  <si>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</si>
  <si>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</si>
  <si>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</si>
  <si>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</si>
  <si>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</si>
  <si>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</si>
  <si>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</si>
  <si>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</si>
  <si>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</si>
  <si>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</si>
  <si>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</si>
  <si>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</si>
  <si>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</si>
  <si>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</si>
  <si>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</si>
  <si>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</si>
  <si>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</si>
  <si>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</si>
  <si>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</si>
  <si>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</si>
  <si>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</si>
  <si>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</si>
  <si>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</si>
  <si>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</si>
  <si>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</si>
  <si>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</si>
  <si>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</si>
  <si>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</si>
  <si>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</si>
  <si>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</si>
  <si>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</si>
  <si>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</si>
  <si>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</si>
  <si>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</si>
  <si>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</si>
  <si>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</si>
  <si>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</si>
  <si>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</si>
  <si>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</si>
  <si>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</si>
  <si>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</si>
  <si>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</si>
  <si>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</si>
  <si>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</si>
  <si>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</si>
  <si>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</si>
  <si>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</si>
  <si>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</si>
  <si>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</si>
  <si>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</si>
  <si>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</si>
  <si>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</si>
  <si>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</si>
  <si>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</si>
  <si>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</si>
  <si>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</si>
  <si>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</si>
  <si>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</si>
  <si>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</si>
  <si>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</si>
  <si>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</si>
  <si>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</si>
  <si>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</si>
  <si>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</si>
  <si>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</si>
  <si>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</si>
  <si>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</si>
  <si>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</si>
  <si>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</si>
  <si>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</si>
  <si>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</si>
  <si>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</si>
  <si>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</si>
  <si>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</si>
  <si>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</si>
  <si>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</si>
  <si>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</si>
  <si>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</si>
  <si>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</si>
  <si>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</si>
  <si>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</si>
  <si>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</si>
  <si>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</si>
  <si>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</si>
  <si>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</si>
  <si>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</si>
  <si>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</si>
  <si>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</si>
  <si>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</si>
  <si>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</si>
  <si>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</si>
  <si>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</si>
  <si>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</si>
  <si>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</si>
  <si>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</si>
  <si>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</si>
  <si>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</si>
  <si>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</si>
  <si>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</si>
  <si>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</si>
  <si>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</si>
  <si>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</si>
  <si>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</si>
  <si>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</si>
  <si>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</si>
  <si>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</si>
  <si>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</si>
  <si>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</si>
  <si>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</si>
  <si>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</si>
  <si>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</si>
  <si>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</si>
  <si>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</si>
  <si>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</si>
  <si>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</si>
  <si>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</si>
  <si>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</si>
  <si>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</si>
  <si>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</si>
  <si>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</si>
  <si>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</si>
  <si>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</si>
  <si>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</si>
  <si>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</si>
  <si>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</si>
  <si>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</si>
  <si>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</si>
  <si>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</si>
  <si>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</si>
  <si>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</si>
  <si>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</si>
  <si>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</si>
  <si>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</si>
  <si>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</si>
  <si>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</si>
  <si>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</si>
  <si>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</si>
  <si>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</si>
  <si>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</si>
  <si>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</si>
  <si>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</si>
  <si>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</si>
  <si>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</si>
  <si>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</si>
  <si>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</si>
  <si>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</si>
  <si>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</si>
  <si>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</si>
  <si>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</si>
  <si>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</si>
  <si>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</si>
  <si>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</si>
  <si>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</si>
  <si>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</si>
  <si>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</si>
  <si>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</si>
  <si>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</si>
  <si>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</si>
  <si>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</si>
  <si>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</si>
  <si>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</si>
  <si>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</si>
  <si>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</si>
  <si>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</si>
  <si>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</si>
  <si>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</si>
  <si>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</si>
  <si>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</si>
  <si>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</si>
  <si>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</si>
  <si>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</si>
  <si>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</si>
  <si>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</si>
  <si>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</si>
  <si>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</si>
  <si>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</si>
  <si>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</si>
  <si>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</si>
  <si>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</si>
  <si>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</si>
  <si>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</si>
  <si>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</si>
  <si>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</si>
  <si>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</si>
  <si>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</si>
  <si>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</si>
  <si>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</si>
  <si>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</si>
  <si>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</si>
  <si>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</si>
  <si>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</si>
  <si>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</si>
  <si>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</si>
  <si>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</si>
  <si>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</si>
  <si>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</si>
  <si>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</si>
  <si>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</si>
  <si>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</si>
  <si>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</si>
  <si>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</si>
  <si>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</si>
  <si>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</si>
  <si>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</si>
  <si>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</si>
  <si>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</si>
  <si>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</si>
  <si>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</si>
  <si>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</si>
  <si>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</si>
  <si>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</si>
  <si>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</si>
  <si>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</si>
  <si>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</si>
  <si>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</si>
  <si>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</si>
  <si>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</si>
  <si>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</si>
  <si>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</si>
  <si>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</si>
  <si>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</si>
  <si>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</si>
  <si>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</si>
  <si>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</si>
  <si>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</si>
  <si>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</si>
  <si>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</si>
  <si>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</si>
  <si>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</si>
  <si>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</si>
  <si>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</si>
  <si>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</si>
  <si>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</si>
  <si>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</si>
  <si>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</si>
  <si>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</si>
  <si>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</si>
  <si>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</si>
  <si>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</si>
  <si>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</si>
  <si>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</si>
  <si>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</si>
  <si>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</si>
  <si>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</si>
  <si>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</si>
  <si>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</si>
  <si>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</si>
  <si>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</si>
  <si>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</si>
  <si>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</si>
  <si>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</si>
  <si>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</si>
  <si>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</si>
  <si>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</si>
  <si>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</si>
  <si>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</si>
  <si>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</si>
  <si>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</si>
  <si>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</si>
  <si>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</si>
  <si>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</si>
  <si>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</si>
  <si>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</si>
  <si>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</si>
  <si>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</si>
  <si>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</si>
  <si>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</si>
  <si>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</si>
  <si>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</si>
  <si>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</si>
  <si>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</si>
  <si>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</si>
  <si>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</si>
  <si>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</si>
  <si>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</si>
  <si>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</si>
  <si>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</si>
  <si>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</si>
  <si>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</si>
  <si>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</si>
  <si>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</si>
  <si>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</si>
  <si>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</si>
  <si>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</si>
  <si>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</si>
  <si>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</si>
  <si>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</si>
  <si>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</si>
  <si>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</si>
  <si>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</si>
  <si>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</si>
  <si>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</si>
  <si>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</si>
  <si>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</si>
  <si>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</si>
  <si>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</si>
  <si>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</si>
  <si>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</si>
  <si>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</si>
  <si>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</si>
  <si>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</si>
  <si>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</si>
  <si>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</si>
  <si>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</si>
  <si>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</si>
  <si>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</si>
  <si>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</si>
  <si>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</si>
  <si>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</si>
  <si>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</si>
  <si>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</si>
  <si>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</si>
  <si>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</si>
  <si>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</si>
  <si>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</si>
  <si>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</si>
  <si>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</si>
  <si>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</si>
  <si>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</si>
  <si>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</si>
  <si>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</si>
  <si>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</si>
  <si>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</si>
  <si>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</si>
  <si>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</si>
  <si>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</si>
  <si>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</si>
  <si>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</si>
  <si>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</si>
  <si>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</si>
  <si>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</si>
  <si>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</si>
  <si>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</si>
  <si>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</si>
  <si>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</si>
  <si>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</si>
  <si>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</si>
  <si>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</si>
  <si>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</si>
  <si>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</si>
  <si>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</si>
  <si>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</si>
  <si>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</si>
  <si>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</si>
  <si>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</si>
  <si>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</si>
  <si>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</si>
  <si>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</si>
  <si>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</si>
  <si>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</si>
  <si>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</si>
  <si>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</si>
  <si>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</si>
  <si>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</si>
  <si>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</si>
  <si>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</si>
  <si>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</si>
  <si>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</si>
  <si>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</si>
  <si>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</si>
  <si>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</si>
  <si>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</si>
  <si>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</si>
  <si>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</si>
  <si>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</si>
  <si>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</si>
  <si>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</si>
  <si>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</si>
  <si>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</si>
  <si>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</si>
  <si>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</si>
  <si>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</si>
  <si>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</si>
  <si>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</si>
  <si>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</si>
  <si>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</si>
  <si>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</si>
  <si>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</si>
  <si>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</si>
  <si>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</si>
  <si>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</si>
  <si>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</si>
  <si>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</si>
  <si>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</si>
  <si>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</si>
  <si>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</si>
  <si>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</si>
  <si>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</si>
  <si>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</si>
  <si>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</si>
  <si>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</si>
  <si>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</si>
  <si>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</si>
  <si>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</si>
  <si>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</si>
  <si>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</si>
  <si>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</si>
  <si>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</si>
  <si>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</si>
  <si>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</si>
  <si>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</si>
  <si>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</si>
  <si>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</si>
  <si>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</si>
  <si>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</si>
  <si>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</si>
  <si>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</si>
  <si>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</si>
  <si>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</si>
  <si>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</si>
  <si>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</si>
  <si>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</si>
  <si>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</si>
  <si>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</si>
  <si>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</si>
  <si>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</si>
  <si>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</si>
  <si>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</si>
  <si>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</si>
  <si>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</si>
  <si>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</si>
  <si>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</si>
  <si>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</si>
  <si>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</si>
  <si>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</si>
  <si>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</si>
  <si>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</si>
  <si>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</si>
  <si>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</si>
  <si>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</si>
  <si>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</si>
  <si>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</si>
  <si>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</si>
  <si>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</si>
  <si>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</si>
  <si>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</si>
  <si>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</si>
  <si>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</si>
  <si>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</si>
  <si>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</si>
  <si>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</si>
  <si>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</si>
  <si>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</si>
  <si>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</si>
  <si>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</si>
  <si>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</si>
  <si>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</si>
  <si>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</si>
  <si>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</si>
  <si>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</si>
  <si>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</si>
  <si>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</si>
  <si>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</si>
  <si>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</si>
  <si>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</si>
  <si>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</si>
  <si>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</si>
  <si>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</si>
  <si>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</si>
  <si>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</si>
  <si>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</si>
  <si>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</si>
  <si>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</si>
  <si>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</si>
  <si>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</si>
  <si>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</si>
  <si>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</si>
  <si>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</si>
  <si>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</si>
  <si>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</si>
  <si>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</si>
  <si>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</si>
  <si>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</si>
  <si>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</si>
  <si>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</si>
  <si>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</si>
  <si>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</si>
  <si>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</si>
  <si>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</si>
  <si>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</si>
  <si>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</si>
  <si>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</si>
  <si>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</si>
  <si>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</si>
  <si>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</si>
  <si>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</si>
  <si>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</si>
  <si>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</si>
  <si>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</si>
  <si>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</si>
  <si>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</si>
  <si>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</si>
  <si>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</si>
  <si>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</si>
  <si>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</si>
  <si>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</si>
  <si>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</si>
  <si>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</si>
  <si>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</si>
  <si>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</si>
  <si>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</si>
  <si>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</si>
  <si>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</si>
  <si>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</si>
  <si>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</si>
  <si>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</si>
  <si>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</si>
  <si>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</si>
  <si>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</si>
  <si>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</si>
  <si>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</si>
  <si>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</si>
  <si>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</si>
  <si>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</si>
  <si>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</si>
  <si>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</si>
  <si>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</si>
  <si>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</si>
  <si>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</si>
  <si>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</si>
  <si>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</si>
  <si>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</si>
  <si>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</si>
  <si>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</si>
  <si>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</si>
  <si>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</si>
  <si>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</si>
  <si>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</si>
  <si>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</si>
  <si>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</si>
  <si>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</si>
  <si>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</si>
  <si>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</si>
  <si>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</si>
  <si>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</si>
  <si>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</si>
  <si>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</si>
  <si>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</si>
  <si>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</si>
  <si>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</si>
  <si>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</si>
  <si>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</si>
  <si>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</si>
  <si>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</si>
  <si>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</si>
  <si>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</si>
  <si>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</si>
  <si>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</si>
  <si>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</si>
  <si>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</si>
  <si>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</si>
  <si>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</si>
  <si>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</si>
  <si>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</si>
  <si>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</si>
  <si>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</si>
  <si>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</si>
  <si>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</si>
  <si>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</si>
  <si>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</si>
  <si>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</si>
  <si>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</si>
  <si>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</si>
  <si>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</si>
  <si>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</si>
  <si>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</si>
  <si>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</si>
  <si>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</si>
  <si>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</si>
  <si>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</si>
  <si>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</si>
  <si>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</si>
  <si>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</si>
  <si>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</si>
  <si>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</si>
  <si>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</si>
  <si>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</si>
  <si>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</si>
  <si>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</si>
  <si>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</si>
  <si>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</si>
  <si>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</si>
  <si>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</si>
  <si>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</si>
  <si>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</si>
  <si>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</si>
  <si>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</si>
  <si>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</si>
  <si>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</si>
  <si>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</si>
  <si>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</si>
  <si>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</si>
  <si>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</si>
  <si>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</si>
  <si>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</si>
  <si>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</si>
  <si>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</si>
  <si>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</si>
  <si>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</si>
  <si>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</si>
  <si>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</si>
  <si>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</si>
  <si>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</si>
  <si>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</si>
  <si>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</si>
  <si>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</si>
  <si>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</si>
  <si>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</si>
  <si>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</si>
  <si>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</si>
  <si>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</si>
  <si>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</si>
  <si>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</si>
  <si>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</si>
  <si>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</si>
  <si>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</si>
  <si>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</si>
  <si>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</si>
  <si>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</si>
  <si>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</si>
  <si>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</si>
  <si>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</si>
  <si>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</si>
  <si>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</si>
  <si>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</si>
  <si>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</si>
  <si>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</si>
  <si>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</si>
  <si>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</si>
  <si>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</si>
  <si>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</si>
  <si>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</si>
  <si>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</si>
  <si>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</si>
  <si>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</si>
  <si>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</si>
  <si>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</si>
  <si>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</si>
  <si>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</si>
  <si>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</si>
  <si>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</si>
  <si>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</si>
  <si>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</si>
  <si>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</si>
  <si>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</si>
  <si>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</si>
  <si>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</si>
  <si>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</si>
  <si>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</si>
  <si>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</si>
  <si>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</si>
  <si>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</si>
  <si>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</si>
  <si>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</si>
  <si>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</si>
  <si>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</si>
  <si>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</si>
  <si>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</si>
  <si>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</si>
  <si>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</si>
  <si>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</si>
  <si>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</si>
  <si>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</si>
  <si>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</si>
  <si>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</si>
  <si>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</si>
  <si>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</si>
  <si>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</si>
  <si>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</si>
  <si>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</si>
  <si>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</si>
  <si>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</si>
  <si>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</si>
  <si>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</si>
  <si>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</si>
  <si>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</si>
  <si>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</si>
  <si>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</si>
  <si>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</si>
  <si>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</si>
  <si>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</si>
  <si>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</si>
  <si>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</si>
  <si>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</si>
  <si>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</si>
  <si>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</si>
  <si>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</si>
  <si>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</si>
  <si>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</si>
  <si>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</si>
  <si>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</si>
  <si>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</si>
  <si>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</si>
  <si>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</si>
  <si>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</si>
  <si>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</si>
  <si>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</si>
  <si>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</si>
  <si>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</si>
  <si>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</si>
  <si>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</si>
  <si>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</si>
  <si>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</si>
  <si>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</si>
  <si>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</si>
  <si>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</si>
  <si>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</si>
  <si>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</si>
  <si>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</si>
  <si>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</si>
  <si>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</si>
  <si>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</si>
  <si>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</si>
  <si>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</si>
  <si>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</si>
  <si>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</si>
  <si>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</si>
  <si>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</si>
  <si>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</si>
  <si>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</si>
  <si>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</si>
  <si>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</si>
  <si>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</si>
  <si>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</si>
  <si>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</si>
  <si>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</si>
  <si>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</si>
  <si>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</si>
  <si>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</si>
  <si>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</si>
  <si>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</si>
  <si>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</si>
  <si>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</si>
  <si>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</si>
  <si>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</si>
  <si>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</si>
  <si>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</si>
  <si>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</si>
  <si>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</si>
  <si>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</si>
  <si>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</si>
  <si>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</si>
  <si>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</si>
  <si>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</si>
  <si>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</si>
  <si>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</si>
  <si>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</si>
  <si>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</si>
  <si>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</si>
  <si>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</si>
  <si>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</si>
  <si>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</si>
  <si>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</si>
  <si>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</si>
  <si>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</si>
  <si>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</si>
  <si>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</si>
  <si>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</si>
  <si>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</si>
  <si>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</si>
  <si>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</si>
  <si>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</si>
  <si>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</si>
  <si>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</si>
  <si>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</si>
  <si>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</si>
  <si>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</si>
  <si>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</si>
  <si>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</si>
  <si>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</si>
  <si>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</si>
  <si>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</si>
  <si>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</si>
  <si>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</si>
  <si>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</si>
  <si>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</si>
  <si>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</si>
  <si>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</si>
  <si>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</si>
  <si>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</si>
  <si>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</si>
  <si>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</si>
  <si>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</si>
  <si>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</si>
  <si>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</si>
  <si>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</si>
  <si>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</si>
  <si>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</si>
  <si>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</si>
  <si>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</si>
  <si>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</si>
  <si>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</si>
  <si>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</si>
  <si>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</si>
  <si>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</si>
  <si>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</si>
  <si>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</si>
  <si>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</si>
  <si>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</si>
  <si>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</si>
  <si>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</si>
  <si>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</si>
  <si>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</si>
  <si>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</si>
  <si>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</si>
  <si>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</si>
  <si>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</si>
  <si>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</si>
  <si>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</si>
  <si>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</si>
  <si>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</si>
  <si>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</si>
  <si>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</si>
  <si>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</si>
  <si>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</si>
  <si>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</si>
  <si>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</si>
  <si>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</si>
  <si>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</si>
  <si>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</si>
  <si>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</si>
  <si>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</si>
  <si>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</si>
  <si>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</si>
  <si>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</si>
  <si>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</si>
  <si>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</si>
  <si>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</si>
  <si>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</si>
  <si>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</si>
  <si>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</si>
  <si>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</si>
  <si>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</si>
  <si>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</si>
  <si>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</si>
  <si>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</si>
  <si>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</si>
  <si>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</si>
  <si>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</si>
  <si>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</si>
  <si>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</si>
  <si>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</si>
  <si>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</si>
  <si>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</si>
  <si>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</si>
  <si>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</si>
  <si>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</si>
  <si>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</si>
  <si>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</si>
  <si>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</si>
  <si>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</si>
  <si>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</si>
  <si>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</si>
  <si>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</si>
  <si>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</si>
  <si>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</si>
  <si>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</si>
  <si>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</si>
  <si>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</si>
  <si>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</si>
  <si>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</si>
  <si>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</si>
  <si>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</si>
  <si>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</si>
  <si>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</si>
  <si>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</si>
  <si>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</si>
  <si>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</si>
  <si>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</si>
  <si>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</si>
  <si>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</si>
  <si>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</si>
  <si>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</si>
  <si>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</si>
  <si>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</si>
  <si>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</si>
  <si>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</si>
  <si>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</si>
  <si>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</si>
  <si>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</si>
  <si>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</si>
  <si>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</si>
  <si>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</si>
  <si>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</si>
  <si>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</si>
  <si>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</si>
  <si>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</si>
  <si>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</si>
  <si>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</si>
  <si>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</si>
  <si>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</si>
  <si>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</si>
  <si>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</si>
  <si>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</si>
  <si>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</si>
  <si>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</si>
  <si>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</si>
  <si>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</si>
  <si>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</si>
  <si>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</si>
  <si>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</si>
  <si>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</si>
  <si>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</si>
  <si>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</si>
  <si>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</si>
  <si>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</si>
  <si>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</si>
  <si>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</si>
  <si>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</si>
  <si>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</si>
  <si>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</si>
  <si>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</si>
  <si>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</si>
  <si>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</si>
  <si>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</si>
  <si>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</si>
  <si>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</si>
  <si>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</si>
  <si>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</si>
  <si>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</si>
  <si>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</si>
  <si>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</si>
  <si>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</si>
  <si>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</si>
  <si>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</si>
  <si>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</si>
  <si>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</si>
  <si>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</si>
  <si>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</si>
  <si>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</si>
  <si>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</si>
  <si>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</si>
  <si>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</si>
  <si>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</si>
  <si>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</si>
  <si>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</si>
  <si>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</si>
  <si>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</si>
  <si>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</si>
  <si>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</si>
  <si>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</si>
  <si>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</si>
  <si>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</si>
  <si>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</si>
  <si>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</si>
  <si>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</si>
  <si>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</si>
  <si>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</si>
  <si>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</si>
  <si>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</si>
  <si>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</si>
  <si>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</si>
  <si>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</si>
  <si>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</si>
  <si>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</si>
  <si>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</si>
  <si>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</si>
  <si>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</si>
  <si>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</si>
  <si>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</si>
  <si>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</si>
  <si>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</si>
  <si>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</si>
  <si>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</si>
  <si>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</si>
  <si>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</si>
  <si>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</si>
  <si>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</si>
  <si>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</si>
  <si>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</si>
  <si>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</si>
  <si>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</si>
  <si>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</si>
  <si>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</si>
  <si>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</si>
  <si>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</si>
  <si>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</si>
  <si>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</si>
  <si>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</si>
  <si>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</si>
  <si>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</si>
  <si>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</si>
  <si>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</si>
  <si>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</si>
  <si>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</si>
  <si>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</si>
  <si>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</si>
  <si>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</si>
  <si>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</si>
  <si>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</si>
  <si>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</si>
  <si>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</si>
  <si>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</si>
  <si>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</si>
  <si>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</si>
  <si>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</si>
  <si>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</si>
  <si>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</si>
  <si>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</si>
  <si>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</si>
  <si>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</si>
  <si>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</si>
  <si>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</si>
  <si>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</si>
  <si>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</si>
  <si>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</si>
  <si>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</si>
  <si>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</si>
  <si>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</si>
  <si>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</si>
  <si>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</si>
  <si>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</si>
  <si>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</si>
  <si>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</si>
  <si>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</si>
  <si>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</si>
  <si>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</si>
  <si>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</si>
  <si>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</si>
  <si>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</si>
  <si>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</si>
  <si>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</si>
  <si>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</si>
  <si>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</si>
  <si>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</si>
  <si>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</si>
  <si>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</si>
  <si>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</si>
  <si>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</si>
  <si>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</si>
  <si>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</si>
  <si>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</si>
  <si>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</si>
  <si>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</si>
  <si>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</si>
  <si>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</si>
  <si>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</si>
  <si>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</si>
  <si>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</si>
  <si>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</si>
  <si>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</si>
  <si>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</si>
  <si>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</si>
  <si>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</si>
  <si>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</si>
  <si>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</si>
  <si>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</si>
  <si>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</si>
  <si>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</si>
  <si>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</si>
  <si>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</si>
  <si>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</si>
  <si>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</si>
  <si>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</si>
  <si>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</si>
  <si>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</si>
  <si>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</si>
  <si>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</si>
  <si>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</si>
  <si>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</si>
  <si>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</si>
  <si>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</si>
  <si>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</si>
  <si>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</si>
  <si>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</si>
  <si>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</si>
  <si>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</si>
  <si>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</si>
  <si>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</si>
  <si>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</si>
  <si>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</si>
  <si>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</si>
  <si>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</si>
  <si>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</si>
  <si>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</si>
  <si>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</si>
  <si>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</si>
  <si>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</si>
  <si>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</si>
  <si>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</si>
  <si>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</si>
  <si>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</si>
  <si>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</si>
  <si>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</si>
  <si>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</si>
  <si>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</si>
  <si>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</si>
  <si>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</si>
  <si>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</si>
  <si>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</si>
  <si>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</si>
  <si>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</si>
  <si>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</si>
  <si>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</si>
  <si>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</si>
  <si>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</si>
  <si>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</si>
  <si>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</si>
  <si>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</si>
  <si>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</si>
  <si>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</si>
  <si>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</si>
  <si>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</si>
  <si>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</si>
  <si>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</si>
  <si>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</si>
  <si>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</si>
  <si>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</si>
  <si>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</si>
  <si>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</si>
  <si>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</si>
  <si>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</si>
  <si>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</si>
  <si>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</si>
  <si>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</si>
  <si>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</si>
  <si>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</si>
  <si>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</si>
  <si>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</si>
  <si>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</si>
  <si>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</si>
  <si>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</si>
  <si>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</si>
  <si>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</si>
  <si>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</si>
  <si>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</si>
  <si>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</si>
  <si>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</si>
  <si>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</si>
  <si>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</si>
  <si>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</si>
  <si>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</si>
  <si>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</si>
  <si>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</si>
  <si>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</si>
  <si>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</si>
  <si>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</si>
  <si>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</si>
  <si>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</si>
  <si>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</si>
  <si>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</si>
  <si>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</si>
  <si>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</si>
  <si>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</si>
  <si>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</si>
  <si>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</si>
  <si>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</si>
  <si>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</si>
  <si>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</si>
  <si>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</si>
  <si>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</si>
  <si>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</si>
  <si>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</si>
  <si>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</si>
  <si>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</si>
  <si>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</si>
  <si>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</si>
  <si>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</si>
  <si>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</si>
  <si>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</si>
  <si>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</si>
  <si>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</si>
  <si>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</si>
  <si>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</si>
  <si>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</si>
  <si>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</si>
  <si>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</si>
  <si>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</si>
  <si>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</si>
  <si>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</si>
  <si>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</si>
  <si>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</si>
  <si>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</si>
  <si>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</si>
  <si>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</si>
  <si>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</si>
  <si>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</si>
  <si>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</si>
  <si>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</si>
  <si>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</si>
  <si>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</si>
  <si>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</si>
  <si>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</si>
  <si>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</si>
  <si>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</si>
  <si>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</si>
  <si>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</si>
  <si>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</si>
  <si>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</si>
  <si>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</si>
  <si>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</si>
  <si>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</si>
  <si>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</si>
  <si>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</si>
  <si>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</si>
  <si>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</si>
  <si>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</si>
  <si>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</si>
  <si>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</si>
  <si>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</si>
  <si>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</si>
  <si>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</si>
  <si>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</si>
  <si>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</si>
  <si>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</si>
  <si>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</si>
  <si>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</si>
  <si>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</si>
  <si>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</si>
  <si>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</si>
  <si>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</si>
  <si>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</si>
  <si>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</si>
  <si>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</si>
  <si>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</si>
  <si>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</si>
  <si>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</si>
  <si>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</si>
  <si>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</si>
  <si>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</si>
  <si>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</si>
  <si>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</si>
  <si>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</si>
  <si>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</si>
  <si>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</si>
  <si>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</si>
  <si>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</si>
  <si>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</si>
  <si>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</si>
  <si>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</si>
  <si>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</si>
  <si>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</si>
  <si>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</si>
  <si>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</si>
  <si>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</si>
  <si>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</si>
  <si>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</si>
  <si>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</si>
  <si>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</si>
  <si>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</si>
  <si>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</si>
  <si>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</si>
  <si>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</si>
  <si>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</si>
  <si>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</si>
  <si>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</si>
  <si>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</si>
  <si>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</si>
  <si>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</si>
  <si>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</si>
  <si>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</si>
  <si>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</si>
  <si>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</si>
  <si>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</si>
  <si>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</si>
  <si>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</si>
  <si>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</si>
  <si>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</si>
  <si>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</si>
  <si>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</si>
  <si>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</si>
  <si>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</si>
  <si>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</si>
  <si>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</si>
  <si>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</si>
  <si>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</si>
  <si>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</si>
  <si>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</si>
  <si>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</si>
  <si>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</si>
  <si>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</si>
  <si>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</si>
  <si>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</si>
  <si>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</si>
  <si>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</si>
  <si>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</si>
  <si>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</si>
  <si>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</si>
  <si>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</si>
  <si>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</si>
  <si>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</si>
  <si>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</si>
  <si>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</si>
  <si>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</si>
  <si>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</si>
  <si>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</si>
  <si>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</si>
  <si>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</si>
  <si>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</si>
  <si>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</si>
  <si>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</si>
  <si>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</si>
  <si>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</si>
  <si>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</si>
  <si>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</si>
  <si>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</si>
  <si>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</si>
  <si>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</si>
  <si>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</si>
  <si>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</si>
  <si>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</si>
  <si>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</si>
  <si>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</si>
  <si>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</si>
  <si>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</si>
  <si>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</si>
  <si>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</si>
  <si>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</si>
  <si>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</si>
  <si>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</si>
  <si>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</si>
  <si>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</si>
  <si>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</si>
  <si>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</si>
  <si>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</si>
  <si>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</si>
  <si>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</si>
  <si>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</si>
  <si>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</si>
  <si>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</si>
  <si>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</si>
  <si>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</si>
  <si>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</si>
  <si>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</si>
  <si>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</si>
  <si>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</si>
  <si>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</si>
  <si>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</si>
  <si>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</si>
  <si>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</si>
  <si>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</si>
  <si>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</si>
  <si>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</si>
  <si>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</si>
  <si>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</si>
  <si>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</si>
  <si>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</si>
  <si>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</si>
  <si>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</si>
  <si>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</si>
  <si>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</si>
  <si>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</si>
  <si>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</si>
  <si>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</si>
  <si>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</si>
  <si>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</si>
  <si>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</si>
  <si>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</si>
  <si>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</si>
  <si>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</si>
  <si>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</si>
  <si>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</si>
  <si>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</si>
  <si>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</si>
  <si>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</si>
  <si>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</si>
  <si>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</si>
  <si>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</si>
  <si>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</si>
  <si>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</si>
  <si>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</si>
  <si>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</si>
  <si>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</si>
  <si>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</si>
  <si>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</si>
  <si>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</si>
  <si>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</si>
  <si>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</si>
  <si>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</si>
  <si>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</si>
  <si>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</si>
  <si>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</si>
  <si>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</si>
  <si>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</si>
  <si>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</si>
  <si>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</si>
  <si>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</si>
  <si>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</si>
  <si>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</si>
  <si>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</si>
  <si>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</si>
  <si>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</si>
  <si>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</si>
  <si>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</si>
  <si>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</si>
  <si>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</si>
  <si>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</si>
  <si>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</si>
  <si>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</si>
  <si>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</si>
  <si>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</si>
  <si>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</si>
  <si>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</si>
  <si>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</si>
  <si>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</si>
  <si>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</si>
  <si>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</si>
  <si>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</si>
  <si>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</si>
  <si>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</si>
  <si>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</si>
  <si>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</si>
  <si>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</si>
  <si>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</si>
  <si>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</si>
  <si>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</si>
  <si>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</si>
  <si>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</si>
  <si>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</si>
  <si>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</si>
  <si>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</si>
  <si>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</si>
  <si>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</si>
  <si>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</si>
  <si>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</si>
  <si>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</si>
  <si>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</si>
  <si>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</si>
  <si>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</si>
  <si>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</si>
  <si>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</si>
  <si>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</si>
  <si>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</si>
  <si>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</si>
  <si>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</si>
  <si>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</si>
  <si>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</si>
  <si>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</si>
  <si>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</si>
  <si>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</si>
  <si>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</si>
  <si>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</si>
  <si>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</si>
  <si>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</si>
  <si>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</si>
  <si>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</si>
  <si>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</si>
  <si>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</si>
  <si>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</si>
  <si>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</si>
  <si>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</si>
  <si>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</si>
  <si>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</si>
  <si>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</si>
  <si>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</si>
  <si>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</si>
  <si>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</si>
  <si>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</si>
  <si>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</si>
  <si>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</si>
  <si>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</si>
  <si>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</si>
  <si>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</si>
  <si>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</si>
  <si>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</si>
  <si>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</si>
  <si>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</si>
  <si>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</si>
  <si>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</si>
  <si>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</si>
  <si>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</si>
  <si>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</si>
  <si>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</si>
  <si>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</si>
  <si>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</si>
  <si>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</si>
  <si>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</si>
  <si>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</si>
  <si>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</si>
  <si>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</si>
  <si>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</si>
  <si>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</si>
  <si>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</si>
  <si>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</si>
  <si>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</si>
  <si>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</si>
  <si>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</si>
  <si>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</si>
  <si>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</si>
  <si>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</si>
  <si>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</si>
  <si>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</si>
  <si>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</si>
  <si>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</si>
  <si>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</si>
  <si>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</si>
  <si>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</si>
  <si>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</si>
  <si>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</si>
  <si>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</si>
  <si>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</si>
  <si>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</si>
  <si>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</si>
  <si>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</si>
  <si>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</si>
  <si>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</si>
  <si>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</si>
  <si>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</si>
  <si>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</si>
  <si>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</si>
  <si>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</si>
  <si>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</si>
  <si>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</si>
  <si>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</si>
  <si>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</si>
  <si>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</si>
  <si>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</si>
  <si>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</si>
  <si>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</si>
  <si>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</si>
  <si>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</si>
  <si>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</si>
  <si>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</si>
  <si>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</si>
  <si>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</si>
  <si>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</si>
  <si>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</si>
  <si>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</si>
  <si>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</si>
  <si>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</si>
  <si>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</si>
  <si>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</si>
  <si>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</si>
  <si>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</si>
  <si>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</si>
  <si>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</si>
  <si>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</si>
  <si>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</si>
  <si>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</si>
  <si>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</si>
  <si>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</si>
  <si>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</si>
  <si>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</si>
  <si>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</si>
  <si>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</si>
  <si>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</si>
  <si>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</si>
  <si>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</si>
  <si>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</si>
  <si>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</si>
  <si>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</si>
  <si>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</si>
  <si>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</si>
  <si>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</si>
  <si>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</si>
  <si>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</si>
  <si>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</si>
  <si>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</si>
  <si>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</si>
  <si>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</si>
  <si>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</si>
  <si>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</si>
  <si>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</si>
  <si>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</si>
  <si>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</si>
  <si>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</si>
  <si>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</si>
  <si>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</si>
  <si>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</si>
  <si>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</si>
  <si>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</si>
  <si>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</si>
  <si>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</si>
  <si>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</si>
  <si>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</si>
  <si>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</si>
  <si>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</si>
  <si>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</si>
  <si>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</si>
  <si>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</si>
  <si>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</si>
  <si>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</si>
  <si>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</si>
  <si>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</si>
  <si>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</si>
  <si>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</si>
  <si>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</si>
  <si>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</si>
  <si>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</si>
  <si>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</si>
  <si>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</si>
  <si>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</si>
  <si>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</si>
  <si>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</si>
  <si>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</si>
  <si>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</si>
  <si>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</si>
  <si>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</si>
  <si>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</si>
  <si>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</si>
  <si>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</si>
  <si>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</si>
  <si>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</si>
  <si>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</si>
  <si>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</si>
  <si>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</si>
  <si>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</si>
  <si>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</si>
  <si>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</si>
  <si>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</si>
  <si>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</si>
  <si>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</si>
  <si>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</si>
  <si>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</si>
  <si>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</si>
  <si>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</si>
  <si>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</si>
  <si>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</si>
  <si>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</si>
  <si>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</si>
  <si>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</si>
  <si>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</si>
  <si>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</si>
  <si>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</si>
  <si>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</si>
  <si>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</si>
  <si>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</si>
  <si>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</si>
  <si>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</si>
  <si>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</si>
  <si>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</si>
  <si>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</si>
  <si>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</si>
  <si>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</si>
  <si>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</si>
  <si>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</si>
  <si>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</si>
  <si>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</si>
  <si>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</si>
  <si>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</si>
  <si>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</si>
  <si>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</si>
  <si>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</si>
  <si>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</si>
  <si>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</si>
  <si>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</si>
  <si>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</si>
  <si>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</si>
  <si>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</si>
  <si>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</si>
  <si>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</si>
  <si>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</si>
  <si>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</si>
  <si>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</si>
  <si>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</si>
  <si>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</si>
  <si>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</si>
  <si>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</si>
  <si>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</si>
  <si>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</si>
  <si>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</si>
  <si>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</si>
  <si>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</si>
  <si>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</si>
  <si>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</si>
  <si>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</si>
  <si>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</si>
  <si>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</si>
  <si>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</si>
  <si>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</si>
  <si>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</si>
  <si>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</si>
  <si>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</si>
  <si>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</si>
  <si>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</si>
  <si>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</si>
  <si>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</si>
  <si>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</si>
  <si>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</si>
  <si>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</si>
  <si>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</si>
  <si>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</si>
  <si>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</si>
  <si>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</si>
  <si>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</si>
  <si>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</si>
  <si>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</si>
  <si>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</si>
  <si>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</si>
  <si>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</si>
  <si>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</si>
  <si>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</si>
  <si>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</si>
  <si>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</si>
  <si>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</si>
  <si>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</si>
  <si>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</si>
  <si>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</si>
  <si>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</si>
  <si>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</si>
  <si>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</si>
  <si>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</si>
  <si>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</si>
  <si>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</si>
  <si>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</si>
  <si>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</si>
  <si>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</si>
  <si>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</si>
  <si>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</si>
  <si>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</si>
  <si>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</si>
  <si>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</si>
  <si>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</si>
  <si>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</si>
  <si>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</si>
  <si>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</si>
  <si>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</si>
  <si>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</si>
  <si>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</si>
  <si>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</si>
  <si>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</si>
  <si>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</si>
  <si>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</si>
  <si>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</si>
  <si>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</si>
  <si>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</si>
  <si>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</si>
  <si>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</si>
  <si>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</si>
  <si>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</si>
  <si>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</si>
  <si>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</si>
  <si>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</si>
  <si>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</si>
  <si>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</si>
  <si>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</si>
  <si>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</si>
  <si>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</si>
  <si>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</si>
  <si>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</si>
  <si>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</si>
  <si>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</si>
  <si>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</si>
  <si>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</si>
  <si>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</si>
  <si>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</si>
  <si>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</si>
  <si>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</si>
  <si>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</si>
  <si>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</si>
  <si>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</si>
  <si>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</si>
  <si>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</si>
  <si>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</si>
  <si>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</si>
  <si>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</si>
  <si>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</si>
  <si>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</si>
  <si>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</si>
  <si>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</si>
  <si>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</si>
  <si>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</si>
  <si>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</si>
  <si>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</si>
  <si>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</si>
  <si>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</si>
  <si>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</si>
  <si>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</si>
  <si>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</si>
  <si>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</si>
  <si>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</si>
  <si>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</si>
  <si>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</si>
  <si>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</si>
  <si>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</si>
  <si>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</si>
  <si>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</si>
  <si>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</si>
  <si>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</si>
  <si>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</si>
  <si>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</si>
  <si>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</si>
  <si>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</si>
  <si>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</si>
  <si>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</si>
  <si>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</si>
  <si>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</si>
  <si>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</si>
  <si>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</si>
  <si>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</si>
  <si>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</si>
  <si>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</si>
  <si>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</si>
  <si>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</si>
  <si>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</si>
  <si>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</si>
  <si>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</si>
  <si>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</si>
  <si>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</si>
  <si>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</si>
  <si>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</si>
  <si>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</si>
  <si>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</si>
  <si>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</si>
  <si>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</si>
  <si>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</si>
  <si>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</si>
  <si>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</si>
  <si>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</si>
  <si>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</si>
  <si>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</si>
  <si>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</si>
  <si>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</si>
  <si>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</si>
  <si>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</si>
  <si>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</si>
  <si>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</si>
  <si>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</si>
  <si>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</si>
  <si>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</si>
  <si>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</si>
  <si>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</si>
  <si>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</si>
  <si>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</si>
  <si>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</si>
  <si>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</si>
  <si>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</si>
  <si>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</si>
  <si>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</si>
  <si>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</si>
  <si>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</si>
  <si>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</si>
  <si>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</si>
  <si>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</si>
  <si>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</si>
  <si>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</si>
  <si>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</si>
  <si>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</si>
  <si>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</si>
  <si>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</si>
  <si>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</si>
  <si>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</si>
  <si>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</si>
  <si>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</si>
  <si>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</si>
  <si>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</si>
  <si>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</si>
  <si>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</si>
  <si>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</si>
  <si>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</si>
  <si>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</si>
  <si>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</si>
  <si>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</si>
  <si>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</si>
  <si>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</si>
  <si>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</si>
  <si>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</si>
  <si>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</si>
  <si>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</si>
  <si>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</si>
  <si>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</si>
  <si>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</si>
  <si>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</si>
  <si>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</si>
  <si>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</si>
  <si>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</si>
  <si>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</si>
  <si>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</si>
  <si>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</si>
  <si>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</si>
  <si>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</si>
  <si>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</si>
  <si>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</si>
  <si>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</si>
  <si>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</si>
  <si>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</si>
  <si>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</si>
  <si>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</si>
  <si>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</si>
  <si>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</si>
  <si>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</si>
  <si>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</si>
  <si>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</si>
  <si>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</si>
  <si>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</si>
  <si>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</si>
  <si>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</si>
  <si>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</si>
  <si>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</si>
  <si>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</si>
  <si>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</si>
  <si>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</si>
  <si>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</si>
  <si>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</si>
  <si>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</si>
  <si>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</si>
  <si>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</si>
  <si>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</si>
  <si>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</si>
  <si>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</si>
  <si>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</si>
  <si>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</si>
  <si>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</si>
  <si>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</si>
  <si>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</si>
  <si>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</si>
  <si>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</si>
  <si>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</si>
  <si>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</si>
  <si>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</si>
  <si>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</si>
  <si>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</si>
  <si>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</si>
  <si>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</si>
  <si>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</si>
  <si>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</si>
  <si>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</si>
  <si>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</si>
  <si>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</si>
  <si>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</si>
  <si>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</si>
  <si>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</si>
  <si>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</si>
  <si>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</si>
  <si>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</si>
  <si>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</si>
  <si>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</si>
  <si>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</si>
  <si>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</si>
  <si>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</si>
  <si>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</si>
  <si>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</si>
  <si>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</si>
  <si>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</si>
  <si>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</si>
  <si>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</si>
  <si>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</si>
  <si>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</si>
  <si>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</si>
  <si>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</si>
  <si>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</si>
  <si>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</si>
  <si>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</si>
  <si>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</si>
  <si>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</si>
  <si>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</si>
  <si>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</si>
  <si>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</si>
  <si>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</si>
  <si>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</si>
  <si>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</si>
  <si>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</si>
  <si>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</si>
  <si>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</si>
  <si>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</si>
  <si>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</si>
  <si>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</si>
  <si>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</si>
  <si>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</si>
  <si>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</si>
  <si>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</si>
  <si>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</si>
  <si>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</si>
  <si>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</si>
  <si>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</si>
  <si>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</si>
  <si>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</si>
  <si>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</si>
  <si>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</si>
  <si>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</si>
  <si>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</si>
  <si>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</si>
  <si>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</si>
  <si>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</si>
  <si>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</si>
  <si>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</si>
  <si>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</si>
  <si>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</si>
  <si>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</si>
  <si>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</si>
  <si>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</si>
  <si>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</si>
  <si>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</si>
  <si>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</si>
  <si>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</si>
  <si>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</si>
  <si>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</si>
  <si>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</si>
  <si>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</si>
  <si>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</si>
  <si>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</si>
  <si>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</si>
  <si>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</si>
  <si>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</si>
  <si>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</si>
  <si>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</si>
  <si>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</si>
  <si>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</si>
  <si>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</si>
  <si>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</si>
  <si>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</si>
  <si>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</si>
  <si>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</si>
  <si>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</si>
  <si>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</si>
  <si>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</si>
  <si>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</si>
  <si>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</si>
  <si>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</si>
  <si>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</si>
  <si>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</si>
  <si>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</si>
  <si>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</si>
  <si>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</si>
  <si>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</si>
  <si>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</si>
  <si>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</si>
  <si>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</si>
  <si>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</si>
  <si>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</si>
  <si>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</si>
  <si>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</si>
  <si>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</si>
  <si>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</si>
  <si>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</si>
  <si>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</si>
  <si>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</si>
  <si>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</si>
  <si>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</si>
  <si>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</si>
  <si>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</si>
  <si>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</si>
  <si>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</si>
  <si>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</si>
  <si>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</si>
  <si>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</si>
  <si>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</si>
  <si>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</si>
  <si>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</si>
  <si>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</si>
  <si>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</si>
  <si>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</si>
  <si>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</si>
  <si>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</si>
  <si>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</si>
  <si>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</si>
  <si>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</si>
  <si>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</si>
  <si>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</si>
  <si>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</si>
  <si>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</si>
  <si>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</si>
  <si>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</si>
  <si>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</si>
  <si>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</si>
  <si>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</si>
  <si>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</si>
  <si>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</si>
  <si>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</si>
  <si>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</si>
  <si>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</si>
  <si>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</si>
  <si>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</si>
  <si>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</si>
  <si>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</si>
  <si>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</si>
  <si>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</si>
  <si>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</si>
  <si>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</si>
  <si>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</si>
  <si>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</si>
  <si>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</si>
  <si>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</si>
  <si>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</si>
  <si>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</si>
  <si>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</si>
  <si>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</si>
  <si>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</si>
  <si>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</si>
  <si>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</si>
  <si>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</si>
  <si>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</si>
  <si>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</si>
  <si>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</si>
  <si>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</si>
  <si>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</si>
  <si>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</si>
  <si>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</si>
  <si>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</si>
  <si>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</si>
  <si>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</si>
  <si>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</si>
  <si>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</si>
  <si>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</si>
  <si>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</si>
  <si>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</si>
  <si>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</si>
  <si>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</si>
  <si>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</si>
  <si>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</si>
  <si>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</si>
  <si>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</si>
  <si>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</si>
  <si>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</si>
  <si>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</si>
  <si>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</si>
  <si>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</si>
  <si>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</si>
  <si>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</si>
  <si>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</si>
  <si>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</si>
  <si>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</si>
  <si>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</si>
  <si>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</si>
  <si>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</si>
  <si>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</si>
  <si>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</si>
  <si>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</si>
  <si>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</si>
  <si>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</si>
  <si>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</si>
  <si>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</si>
  <si>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</si>
  <si>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</si>
  <si>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</si>
  <si>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</si>
  <si>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</si>
  <si>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</si>
  <si>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</si>
  <si>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</si>
  <si>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</si>
  <si>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</si>
  <si>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</si>
  <si>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</si>
  <si>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</si>
  <si>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</si>
  <si>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</si>
  <si>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</si>
  <si>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</si>
  <si>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</si>
  <si>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</si>
  <si>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</si>
  <si>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</si>
  <si>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</si>
  <si>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</si>
  <si>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</si>
  <si>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</si>
  <si>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</si>
  <si>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</si>
  <si>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</si>
  <si>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</si>
  <si>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</si>
  <si>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</si>
  <si>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</si>
  <si>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</si>
  <si>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</si>
  <si>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</si>
  <si>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</si>
  <si>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</si>
  <si>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</si>
  <si>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</si>
  <si>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</si>
  <si>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</si>
  <si>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</si>
  <si>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</si>
  <si>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</si>
  <si>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</si>
  <si>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</si>
  <si>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</si>
  <si>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</si>
  <si>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</si>
  <si>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</si>
  <si>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</si>
  <si>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</si>
  <si>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</si>
  <si>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</si>
  <si>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</si>
  <si>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</si>
  <si>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</si>
  <si>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</si>
  <si>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</si>
  <si>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</si>
  <si>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</si>
  <si>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</si>
  <si>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</si>
  <si>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</si>
  <si>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</si>
  <si>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</si>
  <si>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</si>
  <si>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</si>
  <si>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</si>
  <si>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</si>
  <si>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</si>
  <si>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</si>
  <si>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</si>
  <si>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</si>
  <si>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</si>
  <si>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</si>
  <si>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</si>
  <si>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</si>
  <si>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</si>
  <si>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</si>
  <si>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</si>
  <si>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</si>
  <si>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</si>
  <si>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</si>
  <si>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</si>
  <si>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</si>
  <si>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</si>
  <si>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</si>
  <si>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</si>
  <si>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</si>
  <si>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</si>
  <si>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</si>
  <si>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</si>
  <si>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</si>
  <si>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</si>
  <si>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</si>
  <si>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</si>
  <si>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</si>
  <si>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</si>
  <si>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</si>
  <si>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</si>
  <si>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</si>
  <si>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</si>
  <si>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</si>
  <si>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</si>
  <si>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</si>
  <si>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</si>
  <si>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</si>
  <si>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</si>
  <si>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</si>
  <si>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</si>
  <si>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</si>
  <si>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</si>
  <si>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</si>
  <si>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</si>
  <si>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</si>
  <si>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</si>
  <si>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</si>
  <si>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</si>
  <si>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</si>
  <si>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</si>
  <si>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</si>
  <si>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</si>
  <si>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</si>
  <si>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</si>
  <si>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</si>
  <si>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</si>
  <si>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</si>
  <si>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</si>
  <si>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</si>
  <si>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</si>
  <si>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</si>
  <si>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</si>
  <si>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</si>
  <si>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</si>
  <si>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</si>
  <si>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</si>
  <si>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</si>
  <si>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</si>
  <si>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</si>
  <si>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</si>
  <si>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</si>
  <si>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</si>
  <si>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</si>
  <si>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</si>
  <si>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</si>
  <si>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</si>
  <si>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</si>
  <si>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</si>
  <si>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</si>
  <si>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</si>
  <si>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</si>
  <si>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</si>
  <si>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</si>
  <si>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</si>
  <si>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</si>
  <si>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</si>
  <si>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</si>
  <si>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</si>
  <si>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</si>
  <si>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</si>
  <si>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</si>
  <si>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</si>
  <si>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</si>
  <si>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</si>
  <si>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</si>
  <si>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</si>
  <si>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</si>
  <si>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</si>
  <si>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</si>
  <si>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</si>
  <si>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</si>
  <si>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</si>
  <si>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</si>
  <si>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</si>
  <si>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</si>
  <si>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</si>
  <si>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</si>
  <si>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</si>
  <si>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</si>
  <si>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</si>
  <si>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</si>
  <si>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</si>
  <si>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</si>
  <si>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</si>
  <si>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</si>
  <si>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</si>
  <si>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</si>
  <si>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</si>
  <si>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</si>
  <si>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</si>
  <si>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</si>
  <si>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</si>
  <si>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</si>
  <si>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</si>
  <si>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</si>
  <si>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</si>
  <si>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</si>
  <si>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</si>
  <si>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</si>
  <si>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</si>
  <si>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</si>
  <si>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</si>
  <si>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</si>
  <si>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</si>
  <si>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</si>
  <si>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</si>
  <si>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</si>
  <si>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</si>
  <si>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</si>
  <si>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</si>
  <si>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</si>
  <si>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</si>
  <si>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</si>
  <si>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</si>
  <si>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</si>
  <si>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</si>
  <si>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</si>
  <si>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</si>
  <si>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</si>
  <si>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</si>
  <si>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</si>
  <si>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</si>
  <si>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</si>
  <si>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</si>
  <si>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</si>
  <si>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</si>
  <si>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</si>
  <si>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</si>
  <si>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</si>
  <si>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</si>
  <si>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</si>
  <si>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</si>
  <si>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</si>
  <si>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</si>
  <si>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</si>
  <si>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</si>
  <si>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</si>
  <si>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</si>
  <si>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</si>
  <si>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</si>
  <si>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</si>
  <si>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</si>
  <si>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</si>
  <si>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</si>
  <si>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</si>
  <si>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</si>
  <si>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</si>
  <si>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</si>
  <si>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</si>
  <si>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</si>
  <si>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</si>
  <si>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</si>
  <si>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</si>
  <si>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</si>
  <si>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</si>
  <si>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</si>
  <si>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</si>
  <si>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</si>
  <si>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</si>
  <si>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</si>
  <si>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</si>
  <si>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</si>
  <si>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</si>
  <si>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</si>
  <si>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</si>
  <si>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</si>
  <si>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</si>
  <si>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</si>
  <si>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</si>
  <si>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</si>
  <si>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</si>
  <si>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</si>
  <si>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</si>
  <si>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</si>
  <si>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</si>
  <si>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</si>
  <si>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</si>
  <si>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</si>
  <si>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</si>
  <si>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</si>
  <si>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</si>
  <si>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</si>
  <si>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</si>
  <si>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</si>
  <si>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</si>
  <si>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</si>
  <si>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</si>
  <si>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</si>
  <si>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</si>
  <si>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</si>
  <si>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</si>
  <si>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</si>
  <si>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</si>
  <si>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</si>
  <si>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</si>
  <si>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</si>
  <si>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</si>
  <si>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</si>
  <si>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</si>
  <si>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</si>
  <si>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</si>
  <si>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</si>
  <si>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</si>
  <si>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</si>
  <si>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</si>
  <si>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</si>
  <si>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</si>
  <si>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</si>
  <si>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</si>
  <si>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</si>
  <si>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</si>
  <si>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</si>
  <si>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</si>
  <si>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</si>
  <si>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</si>
  <si>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</si>
  <si>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</si>
  <si>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</si>
  <si>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</si>
  <si>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</si>
  <si>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</si>
  <si>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</si>
  <si>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</si>
  <si>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</si>
  <si>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</si>
  <si>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</si>
  <si>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</si>
  <si>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</si>
  <si>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</si>
  <si>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</si>
  <si>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</si>
  <si>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</si>
  <si>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</si>
  <si>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</si>
  <si>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</si>
  <si>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</si>
  <si>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</si>
  <si>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</si>
  <si>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</si>
  <si>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</si>
  <si>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</si>
  <si>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</si>
  <si>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</si>
  <si>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</si>
  <si>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</si>
  <si>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</si>
  <si>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</si>
  <si>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</si>
  <si>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</si>
  <si>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</si>
  <si>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</si>
  <si>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</si>
  <si>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</si>
  <si>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</si>
  <si>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</si>
  <si>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</si>
  <si>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</si>
  <si>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</si>
  <si>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</si>
  <si>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</si>
  <si>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</si>
  <si>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</si>
  <si>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</si>
  <si>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</si>
  <si>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</si>
  <si>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</si>
  <si>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</si>
  <si>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</si>
  <si>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</si>
  <si>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</si>
  <si>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</si>
  <si>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</si>
  <si>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</si>
  <si>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</si>
  <si>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</si>
  <si>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</si>
  <si>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</si>
  <si>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</si>
  <si>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</si>
  <si>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</si>
  <si>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</si>
  <si>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</si>
  <si>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</si>
  <si>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</si>
  <si>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</si>
  <si>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</si>
  <si>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</si>
  <si>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</si>
  <si>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</si>
  <si>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</si>
  <si>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</si>
  <si>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</si>
  <si>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</si>
  <si>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</si>
  <si>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</si>
  <si>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</si>
  <si>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</si>
  <si>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</si>
  <si>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</si>
  <si>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</si>
  <si>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</si>
  <si>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</si>
  <si>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</si>
  <si>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</si>
  <si>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</si>
  <si>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</si>
  <si>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</si>
  <si>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</si>
  <si>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</si>
  <si>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</si>
  <si>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</si>
  <si>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</si>
  <si>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</si>
  <si>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</si>
  <si>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</si>
  <si>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</si>
  <si>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</si>
  <si>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</si>
  <si>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</si>
  <si>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</si>
  <si>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</si>
  <si>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</si>
  <si>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</si>
  <si>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</si>
  <si>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</si>
  <si>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</si>
  <si>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</si>
  <si>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</si>
  <si>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</si>
  <si>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</si>
  <si>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</si>
  <si>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</si>
  <si>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</si>
  <si>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</si>
  <si>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</si>
  <si>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</si>
  <si>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</si>
  <si>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</si>
  <si>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</si>
  <si>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</si>
  <si>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</si>
  <si>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</si>
  <si>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</si>
  <si>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</si>
  <si>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</si>
  <si>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</si>
  <si>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</si>
  <si>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</si>
  <si>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</si>
  <si>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</si>
  <si>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</si>
  <si>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</si>
  <si>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</si>
  <si>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</si>
  <si>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</si>
  <si>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</si>
  <si>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</si>
  <si>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</si>
  <si>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</si>
  <si>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</si>
  <si>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</si>
  <si>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</si>
  <si>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</si>
  <si>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</si>
  <si>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</si>
  <si>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</si>
  <si>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</si>
  <si>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</si>
  <si>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</si>
  <si>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</si>
  <si>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</si>
  <si>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</si>
  <si>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</si>
  <si>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</si>
  <si>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</si>
  <si>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</si>
  <si>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</si>
  <si>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</si>
  <si>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</si>
  <si>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</si>
  <si>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</si>
  <si>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</si>
  <si>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</si>
  <si>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</si>
  <si>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</si>
  <si>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</si>
  <si>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</si>
  <si>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</si>
  <si>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</si>
  <si>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</si>
  <si>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</si>
  <si>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</si>
  <si>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</si>
  <si>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</si>
  <si>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</si>
  <si>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</si>
  <si>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</si>
  <si>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</si>
  <si>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</si>
  <si>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</si>
  <si>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</si>
  <si>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</si>
  <si>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</si>
  <si>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</si>
  <si>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</si>
  <si>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</si>
  <si>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</si>
  <si>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</si>
  <si>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</si>
  <si>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</si>
  <si>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</si>
  <si>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</si>
  <si>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</si>
  <si>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</si>
  <si>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</si>
  <si>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</si>
  <si>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</si>
  <si>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</si>
  <si>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</si>
  <si>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</si>
  <si>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</si>
  <si>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</si>
  <si>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</si>
  <si>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</si>
  <si>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</si>
  <si>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</si>
  <si>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</si>
  <si>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</si>
  <si>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</si>
  <si>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</si>
  <si>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</si>
  <si>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</si>
  <si>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</si>
  <si>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</si>
  <si>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</si>
  <si>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</si>
  <si>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</si>
  <si>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</si>
  <si>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</si>
  <si>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</si>
  <si>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</si>
  <si>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</si>
  <si>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</si>
  <si>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</si>
  <si>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</si>
  <si>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</si>
  <si>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</si>
  <si>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</si>
  <si>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</si>
  <si>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</si>
  <si>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</si>
  <si>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</si>
  <si>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</si>
  <si>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</si>
  <si>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</si>
  <si>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</si>
  <si>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</si>
  <si>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</si>
  <si>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</si>
  <si>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</si>
  <si>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</si>
  <si>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</si>
  <si>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</si>
  <si>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</si>
  <si>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</si>
  <si>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</si>
  <si>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</si>
  <si>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</si>
  <si>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</si>
  <si>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</si>
  <si>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</si>
  <si>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</si>
  <si>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</si>
  <si>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</si>
  <si>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</si>
  <si>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</si>
  <si>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</si>
  <si>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</si>
  <si>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</si>
  <si>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</si>
  <si>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</si>
  <si>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</si>
  <si>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</si>
  <si>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</si>
  <si>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</si>
  <si>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</si>
  <si>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</si>
  <si>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</si>
  <si>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</si>
  <si>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</si>
  <si>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</si>
  <si>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</si>
  <si>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</si>
  <si>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</si>
  <si>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</si>
  <si>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</si>
  <si>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</si>
  <si>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</si>
  <si>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</si>
  <si>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</si>
  <si>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</si>
  <si>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</si>
  <si>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</si>
  <si>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</si>
  <si>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</si>
  <si>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</si>
  <si>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</si>
  <si>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</si>
  <si>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</si>
  <si>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</si>
  <si>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</si>
  <si>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</si>
  <si>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</si>
  <si>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</si>
  <si>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</si>
  <si>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</si>
  <si>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</si>
  <si>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</si>
  <si>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</si>
  <si>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</si>
  <si>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</si>
  <si>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</si>
  <si>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</si>
  <si>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</si>
  <si>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</si>
  <si>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</si>
  <si>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</si>
  <si>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</si>
  <si>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</si>
  <si>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</si>
  <si>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</si>
  <si>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</si>
  <si>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</si>
  <si>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</si>
  <si>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</si>
  <si>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</si>
  <si>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</si>
  <si>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</si>
  <si>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</si>
  <si>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</si>
  <si>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</si>
  <si>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</si>
  <si>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</si>
  <si>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</si>
  <si>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</si>
  <si>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</si>
  <si>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</si>
  <si>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</si>
  <si>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</si>
  <si>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</si>
  <si>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</si>
  <si>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</si>
  <si>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</si>
  <si>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</si>
  <si>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</si>
  <si>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</si>
  <si>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</si>
  <si>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</si>
  <si>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</si>
  <si>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</si>
  <si>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</si>
  <si>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</si>
  <si>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</si>
  <si>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</si>
  <si>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</si>
  <si>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</si>
  <si>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</si>
  <si>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</si>
  <si>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</si>
  <si>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</si>
  <si>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</si>
  <si>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</si>
  <si>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</si>
  <si>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</si>
  <si>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</si>
  <si>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</si>
  <si>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</si>
  <si>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</si>
  <si>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</si>
  <si>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</si>
  <si>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</si>
  <si>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</si>
  <si>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</si>
  <si>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</si>
  <si>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</si>
  <si>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</si>
  <si>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</si>
  <si>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</si>
  <si>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</si>
  <si>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</si>
  <si>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</si>
  <si>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</si>
  <si>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</si>
  <si>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</si>
  <si>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</si>
  <si>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</si>
  <si>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</si>
  <si>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</si>
  <si>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</si>
  <si>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</si>
  <si>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</si>
  <si>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</si>
  <si>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</si>
  <si>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</si>
  <si>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</si>
  <si>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</si>
  <si>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</si>
  <si>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</si>
  <si>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</si>
  <si>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</si>
  <si>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</si>
  <si>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</si>
  <si>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</si>
  <si>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</si>
  <si>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</si>
  <si>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</si>
  <si>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</si>
  <si>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</si>
  <si>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</si>
  <si>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</si>
  <si>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</si>
  <si>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</si>
  <si>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</si>
  <si>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</si>
  <si>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</si>
  <si>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</si>
  <si>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</si>
  <si>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</si>
  <si>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</si>
  <si>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</si>
  <si>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</si>
  <si>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</si>
  <si>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</si>
  <si>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</si>
  <si>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</si>
  <si>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</si>
  <si>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</si>
  <si>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</si>
  <si>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</si>
  <si>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</si>
  <si>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</si>
  <si>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</si>
  <si>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</si>
  <si>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</si>
  <si>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</si>
  <si>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</si>
  <si>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</si>
  <si>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</si>
  <si>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</si>
  <si>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</si>
  <si>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</si>
  <si>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</si>
  <si>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</si>
  <si>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</si>
  <si>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</si>
  <si>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</si>
  <si>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</si>
  <si>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</si>
  <si>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</si>
  <si>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</si>
  <si>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</si>
  <si>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</si>
  <si>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</si>
  <si>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</si>
  <si>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</si>
  <si>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</si>
  <si>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</si>
  <si>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</si>
  <si>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</si>
  <si>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</si>
  <si>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</si>
  <si>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</si>
  <si>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</si>
  <si>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</si>
  <si>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</si>
  <si>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</si>
  <si>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</si>
  <si>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</si>
  <si>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</si>
  <si>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</si>
  <si>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</si>
  <si>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</si>
  <si>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</si>
  <si>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</si>
  <si>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</si>
  <si>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</si>
  <si>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</si>
  <si>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</si>
  <si>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</si>
  <si>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</si>
  <si>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</si>
  <si>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</si>
  <si>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</si>
  <si>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</si>
  <si>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</si>
  <si>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</si>
  <si>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</si>
  <si>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</si>
  <si>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</si>
  <si>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</si>
  <si>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</si>
  <si>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</si>
  <si>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</si>
  <si>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</si>
  <si>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</si>
  <si>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</si>
  <si>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</si>
  <si>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</si>
  <si>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</si>
  <si>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</si>
  <si>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</si>
  <si>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</si>
  <si>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</si>
  <si>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</si>
  <si>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</si>
  <si>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</si>
  <si>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</si>
  <si>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</si>
  <si>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</si>
  <si>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</si>
  <si>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</si>
  <si>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</si>
  <si>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</si>
  <si>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</si>
  <si>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</si>
  <si>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</si>
  <si>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</si>
  <si>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</si>
  <si>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</si>
  <si>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</si>
  <si>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</si>
  <si>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</si>
  <si>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</si>
  <si>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</si>
  <si>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</si>
  <si>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</si>
  <si>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</si>
  <si>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</si>
  <si>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</si>
  <si>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</si>
  <si>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</si>
  <si>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</si>
  <si>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</si>
  <si>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</si>
  <si>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</si>
  <si>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</si>
  <si>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</si>
  <si>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</si>
  <si>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</si>
  <si>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</si>
  <si>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</si>
  <si>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</si>
  <si>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</si>
  <si>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</si>
  <si>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</si>
  <si>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</si>
  <si>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</si>
  <si>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</si>
  <si>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</si>
  <si>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</si>
  <si>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</si>
  <si>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</si>
  <si>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</si>
  <si>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</si>
  <si>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</si>
  <si>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</si>
  <si>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</si>
  <si>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</si>
  <si>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</si>
  <si>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</si>
  <si>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</si>
  <si>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</si>
  <si>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</si>
  <si>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</si>
  <si>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</si>
  <si>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</si>
  <si>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</si>
  <si>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</si>
  <si>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</si>
  <si>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</si>
  <si>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</si>
  <si>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</si>
  <si>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</si>
  <si>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</si>
  <si>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</si>
  <si>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</si>
  <si>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</si>
  <si>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</si>
  <si>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</si>
  <si>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</si>
  <si>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</si>
  <si>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</si>
  <si>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</si>
  <si>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</si>
  <si>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</si>
  <si>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</si>
  <si>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</si>
  <si>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</si>
  <si>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</si>
  <si>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</si>
  <si>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</si>
  <si>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</si>
  <si>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</si>
  <si>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</si>
  <si>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</si>
  <si>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</si>
  <si>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</si>
  <si>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</si>
  <si>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</si>
  <si>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</si>
  <si>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</si>
  <si>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</si>
  <si>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</si>
  <si>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</si>
  <si>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</si>
  <si>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</si>
  <si>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</si>
  <si>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</si>
  <si>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</si>
  <si>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</si>
  <si>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</si>
  <si>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</si>
  <si>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</si>
  <si>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</si>
  <si>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</si>
  <si>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</si>
  <si>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</si>
  <si>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</si>
  <si>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</si>
  <si>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</si>
  <si>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</si>
  <si>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</si>
  <si>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</si>
  <si>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</si>
  <si>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</si>
  <si>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</si>
  <si>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</si>
  <si>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</si>
  <si>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</si>
  <si>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</si>
  <si>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</si>
  <si>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</si>
  <si>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</si>
  <si>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</si>
  <si>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</si>
  <si>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</si>
  <si>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</si>
  <si>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</si>
  <si>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</si>
  <si>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</si>
  <si>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</si>
  <si>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</si>
  <si>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</si>
  <si>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</si>
  <si>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</si>
  <si>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</si>
  <si>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</si>
  <si>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</si>
  <si>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</si>
  <si>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</si>
  <si>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</si>
  <si>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</si>
  <si>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</si>
  <si>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</si>
  <si>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</si>
  <si>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</si>
  <si>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</si>
  <si>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</si>
  <si>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</si>
  <si>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</si>
  <si>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</si>
  <si>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</si>
  <si>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</si>
  <si>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</si>
  <si>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</si>
  <si>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</si>
  <si>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</si>
  <si>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</si>
  <si>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</si>
  <si>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</si>
  <si>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</si>
  <si>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</si>
  <si>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</si>
  <si>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</si>
  <si>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</si>
  <si>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</si>
  <si>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</si>
  <si>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</si>
  <si>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</si>
  <si>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</si>
  <si>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</si>
  <si>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</si>
  <si>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</si>
  <si>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</si>
  <si>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</si>
  <si>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</si>
  <si>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</si>
  <si>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</si>
  <si>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</si>
  <si>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</si>
  <si>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</si>
  <si>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</si>
  <si>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</si>
  <si>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</si>
  <si>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</si>
  <si>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</si>
  <si>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</si>
  <si>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</si>
  <si>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</si>
  <si>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</si>
  <si>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</si>
  <si>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</si>
  <si>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</si>
  <si>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</si>
  <si>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</si>
  <si>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</si>
  <si>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</si>
  <si>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</si>
  <si>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</si>
  <si>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</si>
  <si>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</si>
  <si>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</si>
  <si>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</si>
  <si>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</si>
  <si>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</si>
  <si>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</si>
  <si>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</si>
  <si>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</si>
  <si>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</si>
  <si>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</si>
  <si>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</si>
  <si>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</si>
  <si>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</si>
  <si>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</si>
  <si>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</si>
  <si>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</si>
  <si>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</si>
  <si>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</si>
  <si>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</si>
  <si>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</si>
  <si>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</si>
  <si>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</si>
  <si>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</si>
  <si>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</si>
  <si>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</si>
  <si>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</si>
  <si>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</si>
  <si>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</si>
  <si>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</si>
  <si>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</si>
  <si>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</si>
  <si>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</si>
  <si>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</si>
  <si>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</si>
  <si>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</si>
  <si>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</si>
  <si>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</si>
  <si>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</si>
  <si>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</si>
  <si>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</si>
  <si>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</si>
  <si>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</si>
  <si>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</si>
  <si>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</si>
  <si>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</si>
  <si>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</si>
  <si>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</si>
  <si>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</si>
  <si>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</si>
  <si>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</si>
  <si>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</si>
  <si>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</si>
  <si>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</si>
  <si>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</si>
  <si>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</si>
  <si>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</si>
  <si>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</si>
  <si>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</si>
  <si>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</si>
  <si>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</si>
  <si>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</si>
  <si>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</si>
  <si>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</si>
  <si>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</si>
  <si>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</si>
  <si>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</si>
  <si>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</si>
  <si>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</si>
  <si>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</si>
  <si>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</si>
  <si>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</si>
  <si>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</si>
  <si>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</si>
  <si>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</si>
  <si>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</si>
  <si>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</si>
  <si>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</si>
  <si>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</si>
  <si>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</si>
  <si>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</si>
  <si>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</si>
  <si>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</si>
  <si>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</si>
  <si>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</si>
  <si>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</si>
  <si>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</si>
  <si>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</si>
  <si>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</si>
  <si>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</si>
  <si>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</si>
  <si>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</si>
  <si>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</si>
  <si>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</si>
  <si>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</si>
  <si>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</si>
  <si>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</si>
  <si>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</si>
  <si>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</si>
  <si>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</si>
  <si>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</si>
  <si>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</si>
  <si>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</si>
  <si>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</si>
  <si>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</si>
  <si>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</si>
  <si>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</si>
  <si>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</si>
  <si>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</si>
  <si>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</si>
  <si>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</si>
  <si>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</si>
  <si>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</si>
  <si>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</si>
  <si>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</si>
  <si>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</si>
  <si>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</si>
  <si>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</si>
  <si>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</si>
  <si>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</si>
  <si>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</si>
  <si>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</si>
  <si>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</si>
  <si>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</si>
  <si>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</si>
  <si>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</si>
  <si>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</si>
  <si>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</si>
  <si>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</si>
  <si>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</si>
  <si>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</si>
  <si>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</si>
  <si>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</si>
  <si>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</si>
  <si>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</si>
  <si>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</si>
  <si>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</si>
  <si>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</si>
  <si>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</si>
  <si>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</si>
  <si>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</si>
  <si>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</si>
  <si>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</si>
  <si>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</si>
  <si>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</si>
  <si>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</si>
  <si>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</si>
  <si>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</si>
  <si>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</si>
  <si>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</si>
  <si>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</si>
  <si>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</si>
  <si>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</si>
  <si>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</si>
  <si>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</si>
  <si>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</si>
  <si>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</si>
  <si>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</si>
  <si>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</si>
  <si>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</si>
  <si>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</si>
  <si>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</si>
  <si>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</si>
  <si>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</si>
  <si>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</si>
  <si>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</si>
  <si>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</si>
  <si>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</si>
  <si>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</si>
  <si>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</si>
  <si>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</si>
  <si>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</si>
  <si>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</si>
  <si>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</si>
  <si>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</si>
  <si>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</si>
  <si>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</si>
  <si>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</si>
  <si>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</si>
  <si>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</si>
  <si>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</si>
  <si>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</si>
  <si>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</si>
  <si>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</si>
  <si>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</si>
  <si>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</si>
  <si>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</si>
  <si>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</si>
  <si>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</si>
  <si>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</si>
  <si>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</si>
  <si>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</si>
  <si>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</si>
  <si>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</si>
  <si>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</si>
  <si>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</si>
  <si>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</si>
  <si>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</si>
  <si>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</si>
  <si>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</si>
  <si>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</si>
  <si>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</si>
  <si>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</si>
  <si>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</si>
  <si>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</si>
  <si>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</si>
  <si>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</si>
  <si>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</si>
  <si>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</si>
  <si>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</si>
  <si>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</si>
  <si>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</si>
  <si>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</si>
  <si>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</si>
  <si>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</si>
  <si>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</si>
  <si>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</si>
  <si>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</si>
  <si>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</si>
  <si>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</si>
  <si>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</si>
  <si>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</si>
  <si>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</si>
  <si>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</si>
  <si>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</si>
  <si>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</si>
  <si>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</si>
  <si>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</si>
  <si>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</si>
  <si>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</si>
  <si>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</si>
  <si>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</si>
  <si>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</si>
  <si>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</si>
  <si>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</si>
  <si>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</si>
  <si>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</si>
  <si>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</si>
  <si>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</si>
  <si>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</si>
  <si>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</si>
  <si>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</si>
  <si>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</si>
  <si>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</si>
  <si>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</si>
  <si>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</si>
  <si>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</si>
  <si>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</si>
  <si>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</si>
  <si>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</si>
  <si>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</si>
  <si>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</si>
  <si>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</si>
  <si>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</si>
  <si>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</si>
  <si>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</si>
  <si>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</si>
  <si>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</si>
  <si>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</si>
  <si>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</si>
  <si>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</si>
  <si>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</si>
  <si>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</si>
  <si>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</si>
  <si>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</si>
  <si>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</si>
  <si>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</si>
  <si>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</si>
  <si>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</si>
  <si>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</si>
  <si>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</si>
  <si>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</si>
  <si>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</si>
  <si>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</si>
  <si>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</si>
  <si>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</si>
  <si>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</si>
  <si>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</si>
  <si>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</si>
  <si>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</si>
  <si>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</si>
  <si>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</si>
  <si>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</si>
  <si>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</si>
  <si>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</si>
  <si>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</si>
  <si>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</si>
  <si>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</si>
  <si>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</si>
  <si>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</si>
  <si>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</si>
  <si>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</si>
  <si>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</si>
  <si>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</si>
  <si>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</si>
  <si>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</si>
  <si>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</si>
  <si>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</si>
  <si>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</si>
  <si>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</si>
  <si>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</si>
  <si>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</si>
  <si>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</si>
  <si>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</si>
  <si>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</si>
  <si>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</si>
  <si>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</si>
  <si>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</si>
  <si>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</si>
  <si>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</si>
  <si>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</si>
  <si>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</si>
  <si>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</si>
  <si>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</si>
  <si>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</si>
  <si>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</si>
  <si>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</si>
  <si>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</si>
  <si>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</si>
  <si>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</si>
  <si>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</si>
  <si>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</si>
  <si>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</si>
  <si>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</si>
  <si>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</si>
  <si>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</si>
  <si>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</si>
  <si>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</si>
  <si>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</si>
  <si>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</si>
  <si>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</si>
  <si>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</si>
  <si>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</si>
  <si>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</si>
  <si>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</si>
  <si>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</si>
  <si>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</si>
  <si>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</si>
  <si>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</si>
  <si>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</si>
  <si>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</si>
  <si>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</si>
  <si>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</si>
  <si>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</si>
  <si>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</si>
  <si>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</si>
  <si>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</si>
  <si>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</si>
  <si>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</si>
  <si>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</si>
  <si>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</si>
  <si>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</si>
  <si>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</si>
  <si>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</si>
  <si>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</si>
  <si>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</si>
  <si>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</si>
  <si>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</si>
  <si>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</si>
  <si>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</si>
  <si>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</si>
  <si>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</si>
  <si>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</si>
  <si>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</si>
  <si>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</si>
  <si>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</si>
  <si>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</si>
  <si>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</si>
  <si>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</si>
  <si>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</si>
  <si>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</si>
  <si>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</si>
  <si>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</si>
  <si>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</si>
  <si>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</si>
  <si>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</si>
  <si>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</si>
  <si>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</si>
  <si>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</si>
  <si>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</si>
  <si>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</si>
  <si>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</si>
  <si>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</si>
  <si>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</si>
  <si>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</si>
  <si>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</si>
  <si>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</si>
  <si>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</si>
  <si>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</si>
  <si>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</si>
  <si>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</si>
  <si>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</si>
  <si>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</si>
  <si>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</si>
  <si>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</si>
  <si>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</si>
  <si>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</si>
  <si>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</si>
  <si>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</si>
  <si>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</si>
  <si>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</si>
  <si>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</si>
  <si>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</si>
  <si>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</si>
  <si>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</si>
  <si>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</si>
  <si>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</si>
  <si>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</si>
  <si>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</si>
  <si>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</si>
  <si>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</si>
  <si>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</si>
  <si>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</si>
  <si>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</si>
  <si>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</si>
  <si>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</si>
  <si>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</si>
  <si>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</si>
  <si>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</si>
  <si>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</si>
  <si>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</si>
  <si>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</si>
  <si>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</si>
  <si>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</si>
  <si>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</si>
  <si>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</si>
  <si>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</si>
  <si>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</si>
  <si>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</si>
  <si>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</si>
  <si>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</si>
  <si>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</si>
  <si>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</si>
  <si>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</si>
  <si>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</si>
  <si>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</si>
  <si>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</si>
  <si>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</si>
  <si>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</si>
  <si>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</si>
  <si>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</si>
  <si>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</si>
  <si>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</si>
  <si>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</si>
  <si>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</si>
  <si>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</si>
  <si>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</si>
  <si>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</si>
  <si>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</si>
  <si>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</si>
  <si>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</si>
  <si>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</si>
  <si>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</si>
  <si>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</si>
  <si>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</si>
  <si>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</si>
  <si>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</si>
  <si>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</si>
  <si>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</si>
  <si>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</si>
  <si>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</si>
  <si>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</si>
  <si>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</si>
  <si>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</si>
  <si>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</si>
  <si>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</si>
  <si>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</si>
  <si>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</si>
  <si>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</si>
  <si>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</si>
  <si>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</si>
  <si>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</si>
  <si>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</si>
  <si>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</si>
  <si>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</si>
  <si>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</si>
  <si>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</si>
  <si>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</si>
  <si>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</si>
  <si>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</si>
  <si>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</si>
  <si>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</si>
  <si>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</si>
  <si>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</si>
  <si>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</si>
  <si>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</si>
  <si>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</si>
  <si>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</si>
  <si>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</si>
  <si>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</si>
  <si>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</si>
  <si>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</si>
  <si>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</si>
  <si>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</si>
  <si>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</si>
  <si>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</si>
  <si>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</si>
  <si>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</si>
  <si>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</si>
  <si>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</si>
  <si>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</si>
  <si>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</si>
  <si>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</si>
  <si>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</si>
  <si>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</si>
  <si>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</si>
  <si>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</si>
  <si>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</si>
  <si>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</si>
  <si>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</si>
  <si>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</si>
  <si>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</si>
  <si>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</si>
  <si>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</si>
  <si>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</si>
  <si>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</si>
  <si>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</si>
  <si>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</si>
  <si>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</si>
  <si>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</si>
  <si>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</si>
  <si>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</si>
  <si>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</si>
  <si>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</si>
  <si>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</si>
  <si>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</si>
  <si>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</si>
  <si>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</si>
  <si>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</si>
  <si>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</si>
  <si>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</si>
  <si>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</si>
  <si>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</si>
  <si>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</si>
  <si>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</si>
  <si>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</si>
  <si>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</si>
  <si>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</si>
  <si>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</si>
  <si>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</si>
  <si>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</si>
  <si>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</si>
  <si>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</si>
  <si>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</si>
  <si>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</si>
  <si>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</si>
  <si>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</si>
  <si>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</si>
  <si>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</si>
  <si>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</si>
  <si>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</si>
  <si>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</si>
  <si>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</si>
  <si>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</si>
  <si>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</si>
  <si>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</si>
  <si>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</si>
  <si>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</si>
  <si>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</si>
  <si>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</si>
  <si>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</si>
  <si>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</si>
  <si>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</si>
  <si>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</si>
  <si>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</si>
  <si>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</si>
  <si>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</si>
  <si>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</si>
  <si>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</si>
  <si>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</si>
  <si>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</si>
  <si>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</si>
  <si>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</si>
  <si>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</si>
  <si>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</si>
  <si>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</si>
  <si>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</si>
  <si>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</si>
  <si>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</si>
  <si>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</si>
  <si>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</si>
  <si>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</si>
  <si>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</si>
  <si>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</si>
  <si>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</si>
  <si>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</si>
  <si>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</si>
  <si>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</si>
  <si>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</si>
  <si>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</si>
  <si>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</si>
  <si>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</si>
  <si>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</si>
  <si>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</si>
  <si>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</si>
  <si>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</si>
  <si>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</si>
  <si>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</si>
  <si>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</si>
  <si>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</si>
  <si>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</si>
  <si>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</si>
  <si>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</si>
  <si>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</si>
  <si>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</si>
  <si>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</si>
  <si>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</si>
  <si>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</si>
  <si>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</si>
  <si>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</si>
  <si>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</si>
  <si>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</si>
  <si>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</si>
  <si>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</si>
  <si>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</si>
  <si>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</si>
  <si>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</si>
  <si>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</si>
  <si>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</si>
  <si>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</si>
  <si>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</si>
  <si>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</si>
  <si>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</si>
  <si>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</si>
  <si>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</si>
  <si>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</si>
  <si>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</si>
  <si>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</si>
  <si>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</si>
  <si>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</si>
  <si>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</si>
  <si>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</si>
  <si>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</si>
  <si>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</si>
  <si>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</si>
  <si>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</si>
  <si>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</si>
  <si>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</si>
  <si>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</si>
  <si>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</si>
  <si>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</si>
  <si>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</si>
  <si>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</si>
  <si>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</si>
  <si>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</si>
  <si>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</si>
  <si>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</si>
  <si>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</si>
  <si>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</si>
  <si>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</si>
  <si>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</si>
  <si>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</si>
  <si>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</si>
  <si>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</si>
  <si>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</si>
  <si>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</si>
  <si>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</si>
  <si>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</si>
  <si>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</si>
  <si>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</si>
  <si>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</si>
  <si>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</si>
  <si>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</si>
  <si>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</si>
  <si>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</si>
  <si>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</si>
  <si>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</si>
  <si>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</si>
  <si>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</si>
  <si>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</si>
  <si>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</si>
  <si>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</si>
  <si>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</si>
  <si>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</si>
  <si>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</si>
  <si>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</si>
  <si>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</si>
  <si>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</si>
  <si>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</si>
  <si>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</si>
  <si>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</si>
  <si>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</si>
  <si>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</si>
  <si>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</si>
  <si>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</si>
  <si>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</si>
  <si>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</si>
  <si>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</si>
  <si>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</si>
  <si>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</si>
  <si>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</si>
  <si>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</si>
  <si>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</si>
  <si>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</si>
  <si>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</si>
  <si>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</si>
  <si>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</si>
  <si>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</si>
  <si>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</si>
  <si>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</si>
  <si>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</si>
  <si>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</si>
  <si>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</si>
  <si>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</si>
  <si>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</si>
  <si>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</si>
  <si>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</si>
  <si>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</si>
  <si>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</si>
  <si>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</si>
  <si>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</si>
  <si>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</si>
  <si>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</si>
  <si>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</si>
  <si>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</si>
  <si>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</si>
  <si>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</si>
  <si>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</si>
  <si>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</si>
  <si>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</si>
  <si>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</si>
  <si>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</si>
  <si>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</si>
  <si>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</si>
  <si>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</si>
  <si>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</si>
  <si>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</si>
  <si>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</si>
  <si>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</si>
  <si>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</si>
  <si>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</si>
  <si>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</si>
  <si>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</si>
  <si>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</si>
  <si>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</si>
  <si>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</si>
  <si>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</si>
  <si>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</si>
  <si>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</si>
  <si>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</si>
  <si>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</si>
  <si>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</si>
  <si>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</si>
  <si>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</si>
  <si>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</si>
  <si>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</si>
  <si>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</si>
  <si>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</si>
  <si>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</si>
  <si>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</si>
  <si>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</si>
  <si>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</si>
  <si>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</si>
  <si>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</si>
  <si>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</si>
  <si>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</si>
  <si>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</si>
  <si>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</si>
  <si>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</si>
  <si>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</si>
  <si>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</si>
  <si>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</si>
  <si>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</si>
  <si>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</si>
  <si>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</si>
  <si>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</si>
  <si>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</si>
  <si>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</si>
  <si>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</si>
  <si>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</si>
  <si>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</si>
  <si>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</si>
  <si>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</si>
  <si>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</si>
  <si>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</si>
  <si>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</si>
  <si>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</si>
  <si>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</si>
  <si>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</si>
  <si>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</si>
  <si>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</si>
  <si>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</si>
  <si>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</si>
  <si>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</si>
  <si>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</si>
  <si>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</si>
  <si>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</si>
  <si>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</si>
  <si>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</si>
  <si>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</si>
  <si>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</si>
  <si>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</si>
  <si>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</si>
  <si>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</si>
  <si>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</si>
  <si>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</si>
  <si>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</si>
  <si>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</si>
  <si>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</si>
  <si>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</si>
  <si>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</si>
  <si>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</si>
  <si>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</si>
  <si>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</si>
  <si>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</si>
  <si>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</si>
  <si>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</si>
  <si>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</si>
  <si>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</si>
  <si>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</si>
  <si>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</si>
  <si>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</si>
  <si>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</si>
  <si>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</si>
  <si>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</si>
  <si>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</si>
  <si>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</si>
  <si>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</si>
  <si>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</si>
  <si>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</si>
  <si>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</si>
  <si>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</si>
  <si>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</si>
  <si>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</si>
  <si>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</si>
  <si>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</si>
  <si>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</si>
  <si>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</si>
  <si>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</si>
  <si>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</si>
  <si>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</si>
  <si>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</si>
  <si>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</si>
  <si>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</si>
  <si>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</si>
  <si>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</si>
  <si>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</si>
  <si>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</si>
  <si>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</si>
  <si>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</si>
  <si>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</si>
  <si>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</si>
  <si>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</si>
  <si>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</si>
  <si>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</si>
  <si>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</si>
  <si>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</si>
  <si>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</si>
  <si>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</si>
  <si>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</si>
  <si>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</si>
  <si>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</si>
  <si>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</si>
  <si>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</si>
  <si>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</si>
  <si>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</si>
  <si>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</si>
  <si>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</si>
  <si>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</si>
  <si>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</si>
  <si>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</si>
  <si>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</si>
  <si>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</si>
  <si>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</si>
  <si>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</si>
  <si>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</si>
  <si>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</si>
  <si>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</si>
  <si>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</si>
  <si>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</si>
  <si>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</si>
  <si>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</si>
  <si>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</si>
  <si>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</si>
  <si>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</si>
  <si>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</si>
  <si>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</si>
  <si>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</si>
  <si>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</si>
  <si>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</si>
  <si>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</si>
  <si>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</si>
  <si>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</si>
  <si>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</si>
  <si>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</si>
  <si>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</si>
  <si>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</si>
  <si>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</si>
  <si>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</si>
  <si>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</si>
  <si>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</si>
  <si>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</si>
  <si>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</si>
  <si>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</si>
  <si>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</si>
  <si>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</si>
  <si>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</si>
  <si>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</si>
  <si>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</si>
  <si>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</si>
  <si>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</si>
  <si>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</si>
  <si>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</si>
  <si>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</si>
  <si>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</si>
  <si>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</si>
  <si>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</si>
  <si>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</si>
  <si>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</si>
  <si>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</si>
  <si>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</si>
  <si>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</si>
  <si>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</si>
  <si>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</si>
  <si>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</si>
  <si>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</si>
  <si>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</si>
  <si>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</si>
  <si>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</si>
  <si>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</si>
  <si>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</si>
  <si>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</si>
  <si>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</si>
  <si>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</si>
  <si>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</si>
  <si>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</si>
  <si>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</si>
  <si>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</si>
  <si>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</si>
  <si>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</si>
  <si>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</si>
  <si>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</si>
  <si>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</si>
  <si>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</si>
  <si>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</si>
  <si>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</si>
  <si>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</si>
  <si>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</si>
  <si>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</si>
  <si>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</si>
  <si>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</si>
  <si>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</si>
  <si>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</si>
  <si>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</si>
  <si>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</si>
  <si>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</si>
  <si>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</si>
  <si>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</si>
  <si>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</si>
  <si>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</si>
  <si>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</si>
  <si>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</si>
  <si>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</si>
  <si>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</si>
  <si>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</si>
  <si>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</si>
  <si>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</si>
  <si>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</si>
  <si>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</si>
  <si>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</si>
  <si>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</si>
  <si>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</si>
  <si>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</si>
  <si>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</si>
  <si>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</si>
  <si>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</si>
  <si>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</si>
  <si>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</si>
  <si>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</si>
  <si>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</si>
  <si>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</si>
  <si>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</si>
  <si>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</si>
  <si>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</si>
  <si>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</si>
  <si>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</si>
  <si>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</si>
  <si>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</si>
  <si>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</si>
  <si>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</si>
  <si>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</si>
  <si>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</si>
  <si>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</si>
  <si>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</si>
  <si>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</si>
  <si>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</si>
  <si>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</si>
  <si>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</si>
  <si>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</si>
  <si>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</si>
  <si>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</si>
  <si>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</si>
  <si>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</si>
  <si>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</si>
  <si>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</si>
  <si>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</si>
  <si>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</si>
  <si>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</si>
  <si>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</si>
  <si>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</si>
  <si>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</si>
  <si>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</si>
  <si>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</si>
  <si>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</si>
  <si>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</si>
  <si>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</si>
  <si>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</si>
  <si>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</si>
  <si>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</si>
  <si>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</si>
  <si>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</si>
  <si>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</si>
  <si>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</si>
  <si>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</si>
  <si>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</si>
  <si>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</si>
  <si>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</si>
  <si>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</si>
  <si>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</si>
  <si>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</si>
  <si>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</si>
  <si>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</si>
  <si>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</si>
  <si>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</si>
  <si>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</si>
  <si>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</si>
  <si>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</si>
  <si>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</si>
  <si>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</si>
  <si>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</si>
  <si>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</si>
  <si>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</si>
  <si>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</si>
  <si>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</si>
  <si>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</si>
  <si>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</si>
  <si>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</si>
  <si>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</si>
  <si>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</si>
  <si>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</si>
  <si>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</si>
  <si>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</si>
  <si>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</si>
  <si>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</si>
  <si>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</si>
  <si>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</si>
  <si>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</si>
  <si>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</si>
  <si>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</si>
  <si>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</si>
  <si>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</si>
  <si>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</si>
  <si>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</si>
  <si>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</si>
  <si>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</si>
  <si>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</si>
  <si>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</si>
  <si>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</si>
  <si>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</si>
  <si>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</si>
  <si>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</si>
  <si>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</si>
  <si>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</si>
  <si>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</si>
  <si>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</si>
  <si>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</si>
  <si>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</si>
  <si>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</si>
  <si>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</si>
  <si>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</si>
  <si>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</si>
  <si>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</si>
  <si>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</si>
  <si>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</si>
  <si>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</si>
  <si>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</si>
  <si>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</si>
  <si>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</si>
  <si>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</si>
  <si>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</si>
  <si>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</si>
  <si>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</si>
  <si>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</si>
  <si>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</si>
  <si>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</si>
  <si>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</si>
  <si>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</si>
  <si>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</si>
  <si>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</si>
  <si>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</si>
  <si>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</si>
  <si>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</si>
  <si>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</si>
  <si>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</si>
  <si>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</si>
  <si>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</si>
  <si>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</si>
  <si>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</si>
  <si>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</si>
  <si>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</si>
  <si>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</si>
  <si>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</si>
  <si>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</si>
  <si>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</si>
  <si>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</si>
  <si>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</si>
  <si>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</si>
  <si>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</si>
  <si>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</si>
  <si>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</si>
  <si>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</si>
  <si>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</si>
  <si>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</si>
  <si>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</si>
  <si>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</si>
  <si>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</si>
  <si>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</si>
  <si>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</si>
  <si>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</si>
  <si>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</si>
  <si>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</si>
  <si>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</si>
  <si>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</si>
  <si>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</si>
  <si>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</si>
  <si>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</si>
  <si>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</si>
  <si>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</si>
  <si>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</si>
  <si>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</si>
  <si>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</si>
  <si>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</si>
  <si>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</si>
  <si>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</si>
  <si>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</si>
  <si>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</si>
  <si>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</si>
  <si>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</si>
  <si>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</si>
  <si>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</si>
  <si>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</si>
  <si>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</si>
  <si>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</si>
  <si>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</si>
  <si>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</si>
  <si>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</si>
  <si>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</si>
  <si>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</si>
  <si>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</si>
  <si>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</si>
  <si>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</si>
  <si>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</si>
  <si>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</si>
  <si>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</si>
  <si>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</si>
  <si>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</si>
  <si>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</si>
  <si>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</si>
  <si>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</si>
  <si>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</si>
  <si>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</si>
  <si>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</si>
  <si>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</si>
  <si>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</si>
  <si>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</si>
  <si>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</si>
  <si>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</si>
  <si>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</si>
  <si>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</si>
  <si>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</si>
  <si>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</si>
  <si>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</si>
  <si>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</si>
  <si>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</si>
  <si>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</si>
  <si>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</si>
  <si>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</si>
  <si>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</si>
  <si>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</si>
  <si>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</si>
  <si>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</si>
  <si>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</si>
  <si>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</si>
  <si>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</si>
  <si>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</si>
  <si>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</si>
  <si>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</si>
  <si>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</si>
  <si>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</si>
  <si>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</si>
  <si>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</si>
  <si>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</si>
  <si>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</si>
  <si>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</si>
  <si>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</si>
  <si>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</si>
  <si>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</si>
  <si>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</si>
  <si>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</si>
  <si>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</si>
  <si>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</si>
  <si>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</si>
  <si>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</si>
  <si>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</si>
  <si>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</si>
  <si>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</si>
  <si>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</si>
  <si>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</si>
  <si>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</si>
  <si>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</si>
  <si>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</si>
  <si>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</si>
  <si>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</si>
  <si>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</si>
  <si>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</si>
  <si>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</si>
  <si>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</si>
  <si>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</si>
  <si>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</si>
  <si>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</si>
  <si>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</si>
  <si>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</si>
  <si>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</si>
  <si>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</si>
  <si>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</si>
  <si>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</si>
  <si>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</si>
  <si>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</si>
  <si>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</si>
  <si>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</si>
  <si>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</si>
  <si>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</si>
  <si>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</si>
  <si>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</si>
  <si>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</si>
  <si>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</si>
  <si>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</si>
  <si>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</si>
  <si>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</si>
  <si>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</si>
  <si>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</si>
  <si>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</si>
  <si>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</si>
  <si>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</si>
  <si>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</si>
  <si>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</si>
  <si>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</si>
  <si>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</si>
  <si>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</si>
  <si>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</si>
  <si>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</si>
  <si>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</si>
  <si>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</si>
  <si>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</si>
  <si>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</si>
  <si>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</si>
  <si>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</si>
  <si>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</si>
  <si>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</si>
  <si>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</si>
  <si>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</si>
  <si>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</si>
  <si>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</si>
  <si>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</si>
  <si>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</si>
  <si>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</si>
  <si>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</si>
  <si>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</si>
  <si>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</si>
  <si>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</si>
  <si>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</si>
  <si>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</si>
  <si>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</si>
  <si>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</si>
  <si>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</si>
  <si>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</si>
  <si>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</si>
  <si>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</si>
  <si>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</si>
  <si>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</si>
  <si>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</si>
  <si>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</si>
  <si>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</si>
  <si>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</si>
  <si>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</si>
  <si>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</si>
  <si>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</si>
  <si>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</si>
  <si>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</si>
  <si>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</si>
  <si>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</si>
  <si>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</si>
  <si>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</si>
  <si>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</si>
  <si>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</si>
  <si>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</si>
  <si>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</si>
  <si>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</si>
  <si>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</si>
  <si>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</si>
  <si>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</si>
  <si>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</si>
  <si>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</si>
  <si>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</si>
  <si>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</si>
  <si>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</si>
  <si>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</si>
  <si>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</si>
  <si>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</si>
  <si>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</si>
  <si>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</si>
  <si>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</si>
  <si>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</si>
  <si>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</si>
  <si>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</si>
  <si>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</si>
  <si>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</si>
  <si>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</si>
  <si>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</si>
  <si>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</si>
  <si>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</si>
  <si>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</si>
  <si>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</si>
  <si>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</si>
  <si>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</si>
  <si>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</si>
  <si>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</si>
  <si>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</si>
  <si>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</si>
  <si>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</si>
  <si>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</si>
  <si>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</si>
  <si>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</si>
  <si>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</si>
  <si>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</si>
  <si>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</si>
  <si>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</si>
  <si>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</si>
  <si>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</si>
  <si>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</si>
  <si>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</si>
  <si>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</si>
  <si>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</si>
  <si>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</si>
  <si>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</si>
  <si>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</si>
  <si>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</si>
  <si>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</si>
  <si>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</si>
  <si>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</si>
  <si>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</si>
  <si>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</si>
  <si>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</si>
  <si>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</si>
  <si>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</si>
  <si>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</si>
  <si>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</si>
  <si>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</si>
  <si>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</si>
  <si>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</si>
  <si>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</si>
  <si>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</si>
  <si>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</si>
  <si>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</si>
  <si>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</si>
  <si>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</si>
  <si>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</si>
  <si>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</si>
  <si>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</si>
  <si>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</si>
  <si>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</si>
  <si>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</si>
  <si>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</si>
  <si>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</si>
  <si>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</si>
  <si>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</si>
  <si>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</si>
  <si>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</si>
  <si>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</si>
  <si>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</si>
  <si>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</si>
  <si>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</si>
  <si>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</si>
  <si>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</si>
  <si>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</si>
  <si>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</si>
  <si>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</si>
  <si>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</si>
  <si>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</si>
  <si>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</si>
  <si>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</si>
  <si>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</si>
  <si>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</si>
  <si>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</si>
  <si>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</si>
  <si>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</si>
  <si>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</si>
  <si>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</si>
  <si>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</si>
  <si>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</si>
  <si>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</si>
  <si>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</si>
  <si>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</si>
  <si>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</si>
  <si>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</si>
  <si>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</si>
  <si>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</si>
  <si>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</si>
  <si>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</si>
  <si>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</si>
  <si>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</si>
  <si>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</si>
  <si>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</si>
  <si>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</si>
  <si>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</si>
  <si>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</si>
  <si>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</si>
  <si>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</si>
  <si>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</si>
  <si>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</si>
  <si>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</si>
  <si>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</si>
  <si>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</si>
  <si>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</si>
  <si>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</si>
  <si>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</si>
  <si>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</si>
  <si>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</si>
  <si>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</si>
  <si>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</si>
  <si>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</si>
  <si>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</si>
  <si>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</si>
  <si>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</si>
  <si>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</si>
  <si>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</si>
  <si>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</si>
  <si>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</si>
  <si>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</si>
  <si>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</si>
  <si>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</si>
  <si>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</si>
  <si>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</si>
  <si>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</si>
  <si>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</si>
  <si>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</si>
  <si>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</si>
  <si>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</si>
  <si>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</si>
  <si>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</si>
  <si>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</si>
  <si>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</si>
  <si>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</si>
  <si>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</si>
  <si>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</si>
  <si>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</si>
  <si>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</si>
  <si>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</si>
  <si>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</si>
  <si>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</si>
  <si>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</si>
  <si>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</si>
  <si>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</si>
  <si>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</si>
  <si>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</si>
  <si>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</si>
  <si>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</si>
  <si>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</si>
  <si>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</si>
  <si>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</si>
  <si>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</si>
  <si>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</si>
  <si>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</si>
  <si>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</si>
  <si>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</si>
  <si>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</si>
  <si>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</si>
  <si>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</si>
  <si>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</si>
  <si>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</si>
  <si>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</si>
  <si>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</si>
  <si>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</si>
  <si>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</si>
  <si>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</si>
  <si>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</si>
  <si>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</si>
  <si>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</si>
  <si>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</si>
  <si>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</si>
  <si>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</si>
  <si>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</si>
  <si>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</si>
  <si>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</si>
  <si>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</si>
  <si>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</si>
  <si>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</si>
  <si>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</si>
  <si>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</si>
  <si>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</si>
  <si>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</si>
  <si>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</si>
  <si>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</si>
  <si>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</si>
  <si>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</si>
  <si>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MRPR Releve 2</t>
  </si>
  <si>
    <t>D6i, D4-5r, D2-3i, D1b, C1-2b</t>
  </si>
  <si>
    <t>Ribes sp.</t>
  </si>
  <si>
    <t>F1-2r</t>
  </si>
  <si>
    <t>Unknown aster #1</t>
  </si>
  <si>
    <t>Unknown aster #2</t>
  </si>
  <si>
    <t>Unknown Carex #1</t>
  </si>
  <si>
    <t>Carex cf. Carex blanda</t>
  </si>
  <si>
    <t>Unknown Carex #2</t>
  </si>
  <si>
    <t>G1-2b</t>
  </si>
  <si>
    <t>MRPR22021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</si>
</sst>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3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4" fillId="0" borderId="25" xfId="0" applyFont="1" applyBorder="1"/>
    <xf numFmtId="0" fontId="4" fillId="0" borderId="33" xfId="1" applyFont="1" applyBorder="1"/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9" t="s">
        <v>57</v>
      </c>
      <c r="B2" s="129"/>
      <c r="C2" s="129"/>
      <c r="D2" s="129"/>
      <c r="E2" s="129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1" t="s">
        <v>5401</v>
      </c>
      <c r="B22" s="131"/>
      <c r="C22" s="131"/>
      <c r="D22" s="131"/>
      <c r="E22" s="131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0" t="s">
        <v>5402</v>
      </c>
      <c r="B24" s="130"/>
      <c r="C24" s="130"/>
      <c r="D24" s="130"/>
      <c r="E24" s="130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0" t="s">
        <v>61</v>
      </c>
      <c r="B39" s="130"/>
      <c r="C39" s="130"/>
      <c r="D39" s="130"/>
      <c r="E39" s="130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0" t="s">
        <v>62</v>
      </c>
      <c r="B45" s="130"/>
      <c r="C45" s="130"/>
      <c r="D45" s="130"/>
      <c r="E45" s="130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5" t="s">
        <v>43</v>
      </c>
      <c r="B93" s="126"/>
      <c r="C93" s="128"/>
      <c r="D93" s="132" t="s">
        <v>44</v>
      </c>
      <c r="E93" s="127"/>
    </row>
    <row r="94" spans="1:5" x14ac:dyDescent="0.2">
      <c r="A94" s="73" t="s">
        <v>23</v>
      </c>
      <c r="B94" s="123" t="s">
        <v>30</v>
      </c>
      <c r="C94" s="124"/>
      <c r="D94" s="3" t="s">
        <v>46</v>
      </c>
      <c r="E94" s="9">
        <v>8</v>
      </c>
    </row>
    <row r="95" spans="1:5" x14ac:dyDescent="0.2">
      <c r="A95" s="73" t="s">
        <v>24</v>
      </c>
      <c r="B95" s="119" t="s">
        <v>31</v>
      </c>
      <c r="C95" s="120"/>
      <c r="D95" s="3" t="s">
        <v>47</v>
      </c>
      <c r="E95" s="9">
        <v>7</v>
      </c>
    </row>
    <row r="96" spans="1:5" x14ac:dyDescent="0.2">
      <c r="A96" s="73" t="s">
        <v>3</v>
      </c>
      <c r="B96" s="119" t="s">
        <v>32</v>
      </c>
      <c r="C96" s="120"/>
      <c r="D96" s="3" t="s">
        <v>48</v>
      </c>
      <c r="E96" s="9">
        <v>6</v>
      </c>
    </row>
    <row r="97" spans="1:5" x14ac:dyDescent="0.2">
      <c r="A97" s="73" t="s">
        <v>25</v>
      </c>
      <c r="B97" s="119" t="s">
        <v>33</v>
      </c>
      <c r="C97" s="120"/>
      <c r="D97" s="3" t="s">
        <v>49</v>
      </c>
      <c r="E97" s="9">
        <v>5</v>
      </c>
    </row>
    <row r="98" spans="1:5" x14ac:dyDescent="0.2">
      <c r="A98" s="73" t="s">
        <v>26</v>
      </c>
      <c r="B98" s="119" t="s">
        <v>34</v>
      </c>
      <c r="C98" s="120"/>
      <c r="D98" s="3" t="s">
        <v>50</v>
      </c>
      <c r="E98" s="9">
        <v>4</v>
      </c>
    </row>
    <row r="99" spans="1:5" x14ac:dyDescent="0.2">
      <c r="A99" s="73" t="s">
        <v>27</v>
      </c>
      <c r="B99" s="119" t="s">
        <v>35</v>
      </c>
      <c r="C99" s="120"/>
      <c r="D99" s="3" t="s">
        <v>4</v>
      </c>
      <c r="E99" s="9">
        <v>3</v>
      </c>
    </row>
    <row r="100" spans="1:5" x14ac:dyDescent="0.2">
      <c r="A100" s="73" t="s">
        <v>2</v>
      </c>
      <c r="B100" s="119" t="s">
        <v>36</v>
      </c>
      <c r="C100" s="120"/>
      <c r="D100" s="3" t="s">
        <v>5</v>
      </c>
      <c r="E100" s="9">
        <v>2</v>
      </c>
    </row>
    <row r="101" spans="1:5" x14ac:dyDescent="0.2">
      <c r="A101" s="73" t="s">
        <v>28</v>
      </c>
      <c r="B101" s="119" t="s">
        <v>37</v>
      </c>
      <c r="C101" s="120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1" t="s">
        <v>38</v>
      </c>
      <c r="C102" s="122"/>
      <c r="D102" s="5"/>
      <c r="E102" s="8"/>
    </row>
    <row r="103" spans="1:5" ht="13.2" thickBot="1" x14ac:dyDescent="0.25">
      <c r="A103" s="125" t="s">
        <v>68</v>
      </c>
      <c r="B103" s="126"/>
      <c r="C103" s="128"/>
      <c r="D103" s="132" t="s">
        <v>45</v>
      </c>
      <c r="E103" s="127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5" t="s">
        <v>21</v>
      </c>
      <c r="B112" s="126"/>
      <c r="C112" s="127"/>
    </row>
    <row r="113" spans="1:3" x14ac:dyDescent="0.2">
      <c r="A113" s="73">
        <v>1</v>
      </c>
      <c r="B113" s="123" t="s">
        <v>40</v>
      </c>
      <c r="C113" s="124"/>
    </row>
    <row r="114" spans="1:3" x14ac:dyDescent="0.2">
      <c r="A114" s="73" t="s">
        <v>39</v>
      </c>
      <c r="B114" s="119" t="s">
        <v>41</v>
      </c>
      <c r="C114" s="120"/>
    </row>
    <row r="115" spans="1:3" x14ac:dyDescent="0.2">
      <c r="A115" s="74" t="s">
        <v>15</v>
      </c>
      <c r="B115" s="117" t="s">
        <v>42</v>
      </c>
      <c r="C115" s="118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9" t="s">
        <v>127</v>
      </c>
      <c r="B1" s="129"/>
      <c r="C1" s="129"/>
      <c r="D1" s="129"/>
      <c r="E1" s="129"/>
      <c r="F1" s="129"/>
      <c r="G1" s="129"/>
      <c r="H1" s="14"/>
    </row>
    <row r="2" spans="1:14" x14ac:dyDescent="0.2">
      <c r="A2" s="135" t="s">
        <v>138</v>
      </c>
      <c r="B2" s="135"/>
      <c r="C2" s="15"/>
      <c r="D2" s="15"/>
      <c r="E2" s="15"/>
      <c r="F2" s="15"/>
      <c r="G2" s="15"/>
      <c r="H2" s="15"/>
    </row>
    <row r="3" spans="1:14" x14ac:dyDescent="0.2">
      <c r="A3" s="136" t="s">
        <v>52</v>
      </c>
      <c r="B3" s="136"/>
      <c r="C3" s="15"/>
      <c r="D3" s="15"/>
      <c r="E3" s="15"/>
      <c r="F3" s="15"/>
      <c r="G3" s="15"/>
      <c r="H3" s="15"/>
    </row>
    <row r="4" spans="1:14" x14ac:dyDescent="0.2">
      <c r="A4" s="136" t="s">
        <v>55</v>
      </c>
      <c r="B4" s="136"/>
      <c r="C4" s="15"/>
      <c r="D4" s="15"/>
      <c r="E4" s="15"/>
      <c r="F4" s="15"/>
      <c r="G4" s="15"/>
      <c r="H4" s="15"/>
    </row>
    <row r="5" spans="1:14" x14ac:dyDescent="0.2">
      <c r="A5" s="136" t="s">
        <v>51</v>
      </c>
      <c r="B5" s="136"/>
      <c r="C5" s="15"/>
      <c r="D5" s="15"/>
      <c r="E5" s="15"/>
      <c r="F5" s="15"/>
      <c r="G5" s="15"/>
      <c r="H5" s="15"/>
    </row>
    <row r="6" spans="1:14" x14ac:dyDescent="0.2">
      <c r="A6" s="133" t="s">
        <v>128</v>
      </c>
      <c r="B6" s="133"/>
    </row>
    <row r="7" spans="1:14" x14ac:dyDescent="0.2">
      <c r="A7" s="133" t="s">
        <v>129</v>
      </c>
      <c r="B7" s="133"/>
      <c r="C7" s="134"/>
      <c r="D7" s="134"/>
      <c r="E7" s="134"/>
      <c r="F7" s="134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447" zoomScale="70" zoomScaleNormal="70" workbookViewId="0">
      <selection activeCell="A49" sqref="A49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/>
      <c r="C2" s="46" t="s">
        <v>5449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4502</v>
      </c>
      <c r="B12" s="44" t="str">
        <f>IF(LEN(VLOOKUP(A12,'Species List'!$A:$G,2,FALSE))=0,"",VLOOKUP(A12,'Species List'!$A:$G,2,FALSE))</f>
        <v>basswood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[FACU]</v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0.10135135135135136</v>
      </c>
      <c r="O12" s="88">
        <f>D12*N12</f>
        <v>0.5067567567567568</v>
      </c>
    </row>
    <row r="13" spans="1:15" x14ac:dyDescent="0.2">
      <c r="A13" s="108" t="s">
        <v>3698</v>
      </c>
      <c r="B13" s="44" t="str">
        <f>IF(LEN(VLOOKUP(A13,'Species List'!$A:$G,2,FALSE))=0,"",VLOOKUP(A13,'Species List'!$A:$G,2,FALSE))</f>
        <v>northern red oak</v>
      </c>
      <c r="C13" s="44">
        <f>IF(LEN(VLOOKUP(A13,'Species List'!$A:$G,3,FALSE))=0,"",VLOOKUP(A13,'Species List'!$A:$G,3,FALSE))</f>
        <v>5</v>
      </c>
      <c r="D13" s="103">
        <f t="shared" ref="D13:D76" si="1">VALUE(C13)</f>
        <v>5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95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88">
        <f t="shared" si="0"/>
        <v>2.0270270270270271E-2</v>
      </c>
      <c r="O13" s="102">
        <f t="shared" ref="O13:O76" si="3">D13*N13</f>
        <v>0.10135135135135136</v>
      </c>
    </row>
    <row r="14" spans="1:15" x14ac:dyDescent="0.2">
      <c r="A14" s="109" t="s">
        <v>3694</v>
      </c>
      <c r="B14" s="44" t="str">
        <f>IF(LEN(VLOOKUP(A14,'Species List'!$A:$G,2,FALSE))=0,"",VLOOKUP(A14,'Species List'!$A:$G,2,FALSE))</f>
        <v>bur oak</v>
      </c>
      <c r="C14" s="44">
        <f>IF(LEN(VLOOKUP(A14,'Species List'!$A:$G,3,FALSE))=0,"",VLOOKUP(A14,'Species List'!$A:$G,3,FALSE))</f>
        <v>5</v>
      </c>
      <c r="D14" s="103">
        <f t="shared" si="1"/>
        <v>5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[FAC-]</v>
      </c>
      <c r="H14" s="44">
        <f>VLOOKUP(A14,'Species List'!$A:$G,7,FALSE)</f>
        <v>0</v>
      </c>
      <c r="J14" s="95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0.10135135135135136</v>
      </c>
      <c r="O14" s="102">
        <f t="shared" si="3"/>
        <v>0.5067567567567568</v>
      </c>
    </row>
    <row r="15" spans="1:15" x14ac:dyDescent="0.2">
      <c r="A15" s="110" t="s">
        <v>3656</v>
      </c>
      <c r="B15" s="44" t="str">
        <f>IF(LEN(VLOOKUP(A15,'Species List'!$A:$G,2,FALSE))=0,"",VLOOKUP(A15,'Species List'!$A:$G,2,FALSE))</f>
        <v>black cherry</v>
      </c>
      <c r="C15" s="44">
        <f>IF(LEN(VLOOKUP(A15,'Species List'!$A:$G,3,FALSE))=0,"",VLOOKUP(A15,'Species List'!$A:$G,3,FALSE))</f>
        <v>4</v>
      </c>
      <c r="D15" s="103">
        <f t="shared" si="1"/>
        <v>4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[FACU]</v>
      </c>
      <c r="H15" s="44">
        <f>VLOOKUP(A15,'Species List'!$A:$G,7,FALSE)</f>
        <v>0</v>
      </c>
      <c r="J15" s="95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2"/>
        <v>15</v>
      </c>
      <c r="N15" s="88">
        <f t="shared" si="0"/>
        <v>0.10135135135135136</v>
      </c>
      <c r="O15" s="102">
        <f t="shared" si="3"/>
        <v>0.40540540540540543</v>
      </c>
    </row>
    <row r="16" spans="1:15" x14ac:dyDescent="0.2">
      <c r="A16" s="108" t="s">
        <v>1251</v>
      </c>
      <c r="B16" s="44" t="str">
        <f>IF(LEN(VLOOKUP(A16,'Species List'!$A:$G,2,FALSE))=0,"",VLOOKUP(A16,'Species List'!$A:$G,2,FALSE))</f>
        <v>hackberry</v>
      </c>
      <c r="C16" s="44">
        <f>IF(LEN(VLOOKUP(A16,'Species List'!$A:$G,3,FALSE))=0,"",VLOOKUP(A16,'Species List'!$A:$G,3,FALSE))</f>
        <v>3</v>
      </c>
      <c r="D16" s="103">
        <f t="shared" si="1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[FAC-]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2.0270270270270271E-2</v>
      </c>
      <c r="O16" s="102">
        <f t="shared" si="3"/>
        <v>6.0810810810810814E-2</v>
      </c>
    </row>
    <row r="17" spans="1:15" x14ac:dyDescent="0.2">
      <c r="A17" s="108" t="s">
        <v>3145</v>
      </c>
      <c r="B17" s="44" t="str">
        <f>IF(LEN(VLOOKUP(A17,'Species List'!$A:$G,2,FALSE))=0,"",VLOOKUP(A17,'Species List'!$A:$G,2,FALSE))</f>
        <v>ironwood</v>
      </c>
      <c r="C17" s="44">
        <f>IF(LEN(VLOOKUP(A17,'Species List'!$A:$G,3,FALSE))=0,"",VLOOKUP(A17,'Species List'!$A:$G,3,FALSE))</f>
        <v>4</v>
      </c>
      <c r="D17" s="103">
        <f t="shared" si="1"/>
        <v>4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[FACU-]</v>
      </c>
      <c r="H17" s="44">
        <f>VLOOKUP(A17,'Species List'!$A:$G,7,FALSE)</f>
        <v>0</v>
      </c>
      <c r="J17" s="95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4">
        <f t="shared" si="2"/>
        <v>15</v>
      </c>
      <c r="N17" s="88">
        <f t="shared" si="0"/>
        <v>0.10135135135135136</v>
      </c>
      <c r="O17" s="102">
        <f t="shared" si="3"/>
        <v>0.40540540540540543</v>
      </c>
    </row>
    <row r="18" spans="1:15" x14ac:dyDescent="0.2">
      <c r="A18" s="111" t="s">
        <v>3757</v>
      </c>
      <c r="B18" s="44" t="str">
        <f>IF(LEN(VLOOKUP(A18,'Species List'!$A:$G,2,FALSE))=0,"",VLOOKUP(A18,'Species List'!$A:$G,2,FALSE))</f>
        <v>common buckthorn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95">
        <v>4</v>
      </c>
      <c r="K18" s="47" t="str">
        <f>VLOOKUP(J18,'Species List'!$H$1:$J$9,2,FALSE)</f>
        <v>&gt;50-75%</v>
      </c>
      <c r="L18" s="47">
        <f>VLOOKUP(K18,'Species List'!$I$1:$N$8,2,FALSE)</f>
        <v>62.5</v>
      </c>
      <c r="M18" s="104">
        <f t="shared" si="2"/>
        <v>62.5</v>
      </c>
      <c r="N18" s="88">
        <f t="shared" si="0"/>
        <v>0.42229729729729731</v>
      </c>
      <c r="O18" s="102">
        <f t="shared" si="3"/>
        <v>0</v>
      </c>
    </row>
    <row r="19" spans="1:15" x14ac:dyDescent="0.2">
      <c r="A19" s="108" t="s">
        <v>2560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E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2.0270270270270271E-2</v>
      </c>
      <c r="O19" s="102">
        <f t="shared" si="3"/>
        <v>6.0810810810810814E-2</v>
      </c>
    </row>
    <row r="20" spans="1:15" x14ac:dyDescent="0.2">
      <c r="A20" s="108" t="s">
        <v>4817</v>
      </c>
      <c r="B20" s="44" t="str">
        <f>IF(LEN(VLOOKUP(A20,'Species List'!$A:$G,2,FALSE))=0,"",VLOOKUP(A20,'Species List'!$A:$G,2,FALSE))</f>
        <v>prickly ash</v>
      </c>
      <c r="C20" s="44">
        <f>IF(LEN(VLOOKUP(A20,'Species List'!$A:$G,3,FALSE))=0,"",VLOOKUP(A20,'Species List'!$A:$G,3,FALSE))</f>
        <v>3</v>
      </c>
      <c r="D20" s="103">
        <f t="shared" si="1"/>
        <v>3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95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3.3783783783783786E-3</v>
      </c>
      <c r="O20" s="102">
        <f t="shared" si="3"/>
        <v>1.0135135135135136E-2</v>
      </c>
    </row>
    <row r="21" spans="1:15" x14ac:dyDescent="0.2">
      <c r="A21" s="110" t="s">
        <v>2145</v>
      </c>
      <c r="B21" s="44" t="str">
        <f>IF(LEN(VLOOKUP(A21,'Species List'!$A:$G,2,FALSE))=0,"",VLOOKUP(A21,'Species List'!$A:$G,2,FALSE))</f>
        <v>green ash</v>
      </c>
      <c r="C21" s="44">
        <f>IF(LEN(VLOOKUP(A21,'Species List'!$A:$G,3,FALSE))=0,"",VLOOKUP(A21,'Species List'!$A:$G,3,FALSE))</f>
        <v>2</v>
      </c>
      <c r="D21" s="103">
        <f t="shared" si="1"/>
        <v>2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2.0270270270270271E-2</v>
      </c>
      <c r="O21" s="102">
        <f t="shared" si="3"/>
        <v>4.0540540540540543E-2</v>
      </c>
    </row>
    <row r="22" spans="1:15" x14ac:dyDescent="0.2">
      <c r="A22" s="108" t="s">
        <v>5441</v>
      </c>
      <c r="B22" s="44" t="e">
        <f>IF(LEN(VLOOKUP(A22,'Species List'!$A:$G,2,FALSE))=0,"",VLOOKUP(A22,'Species List'!$A:$G,2,FALSE))</f>
        <v>#N/A</v>
      </c>
      <c r="C22" s="44">
        <v>3</v>
      </c>
      <c r="D22" s="103">
        <f t="shared" si="1"/>
        <v>3</v>
      </c>
      <c r="E22" s="44" t="e">
        <f>IF(LEN(VLOOKUP(A22,'Species List'!$A:$G,4,FALSE))=0,"",VLOOKUP(A22,'Species List'!$A:$G,4,FALSE))</f>
        <v>#N/A</v>
      </c>
      <c r="F22" s="44" t="s">
        <v>147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2.0270270270270271E-2</v>
      </c>
      <c r="O22" s="102">
        <f t="shared" si="3"/>
        <v>6.0810810810810814E-2</v>
      </c>
    </row>
    <row r="23" spans="1:15" x14ac:dyDescent="0.2">
      <c r="A23" s="108" t="s">
        <v>3851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3</v>
      </c>
      <c r="D23" s="103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2.0270270270270271E-2</v>
      </c>
      <c r="O23" s="102">
        <f t="shared" si="3"/>
        <v>6.0810810810810814E-2</v>
      </c>
    </row>
    <row r="24" spans="1:15" x14ac:dyDescent="0.2">
      <c r="A24" s="108" t="s">
        <v>3858</v>
      </c>
      <c r="B24" s="44" t="str">
        <f>IF(LEN(VLOOKUP(A24,'Species List'!$A:$G,2,FALSE))=0,"",VLOOKUP(A24,'Species List'!$A:$G,2,FALSE))</f>
        <v>black raspberry</v>
      </c>
      <c r="C24" s="44">
        <f>IF(LEN(VLOOKUP(A24,'Species List'!$A:$G,3,FALSE))=0,"",VLOOKUP(A24,'Species List'!$A:$G,3,FALSE))</f>
        <v>2</v>
      </c>
      <c r="D24" s="103">
        <f t="shared" si="1"/>
        <v>2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5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2"/>
        <v>0.5</v>
      </c>
      <c r="N24" s="88">
        <f t="shared" si="0"/>
        <v>3.3783783783783786E-3</v>
      </c>
      <c r="O24" s="102">
        <f t="shared" si="3"/>
        <v>6.7567567567567571E-3</v>
      </c>
    </row>
    <row r="25" spans="1:15" x14ac:dyDescent="0.2">
      <c r="A25" s="108" t="s">
        <v>2254</v>
      </c>
      <c r="B25" s="44" t="str">
        <f>IF(LEN(VLOOKUP(A25,'Species List'!$A:$G,2,FALSE))=0,"",VLOOKUP(A25,'Species List'!$A:$G,2,FALSE))</f>
        <v>honey locust</v>
      </c>
      <c r="C25" s="44">
        <f>IF(LEN(VLOOKUP(A25,'Species List'!$A:$G,3,FALSE))=0,"",VLOOKUP(A25,'Species List'!$A:$G,3,FALSE))</f>
        <v>0</v>
      </c>
      <c r="D25" s="103">
        <f t="shared" si="1"/>
        <v>0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FAC</v>
      </c>
      <c r="H25" s="44" t="str">
        <f>VLOOKUP(A25,'Species List'!$A:$G,7,FALSE)</f>
        <v>W</v>
      </c>
      <c r="J25" s="95" t="s">
        <v>5420</v>
      </c>
      <c r="K25" s="47" t="str">
        <f>VLOOKUP(J25,'Species List'!$H$1:$J$9,2,FALSE)</f>
        <v>&gt;0-1%</v>
      </c>
      <c r="L25" s="47">
        <f>VLOOKUP(K25,'Species List'!$I$1:$N$8,2,FALSE)</f>
        <v>0.5</v>
      </c>
      <c r="M25" s="104">
        <f t="shared" si="2"/>
        <v>0.5</v>
      </c>
      <c r="N25" s="88">
        <f t="shared" si="0"/>
        <v>3.3783783783783786E-3</v>
      </c>
      <c r="O25" s="102">
        <f t="shared" si="3"/>
        <v>0</v>
      </c>
    </row>
    <row r="26" spans="1:15" x14ac:dyDescent="0.2">
      <c r="A26" s="108" t="s">
        <v>4768</v>
      </c>
      <c r="B26" s="44" t="str">
        <f>IF(LEN(VLOOKUP(A26,'Species List'!$A:$G,2,FALSE))=0,"",VLOOKUP(A26,'Species List'!$A:$G,2,FALSE))</f>
        <v>wild grape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C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FACW-</v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2.0270270270270271E-2</v>
      </c>
      <c r="O26" s="102">
        <f t="shared" si="3"/>
        <v>4.0540540540540543E-2</v>
      </c>
    </row>
    <row r="27" spans="1:15" x14ac:dyDescent="0.2">
      <c r="A27" s="108" t="s">
        <v>3213</v>
      </c>
      <c r="B27" s="44" t="str">
        <f>IF(LEN(VLOOKUP(A27,'Species List'!$A:$G,2,FALSE))=0,"",VLOOKUP(A27,'Species List'!$A:$G,2,FALSE))</f>
        <v>Virginia creeper</v>
      </c>
      <c r="C27" s="44">
        <v>3</v>
      </c>
      <c r="D27" s="103">
        <f t="shared" si="1"/>
        <v>3</v>
      </c>
      <c r="E27" s="44" t="str">
        <f>IF(LEN(VLOOKUP(A27,'Species List'!$A:$G,4,FALSE))=0,"",VLOOKUP(A27,'Species List'!$A:$G,4,FALSE))</f>
        <v>C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FAC-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2.0270270270270271E-2</v>
      </c>
      <c r="O27" s="102">
        <f t="shared" si="3"/>
        <v>6.0810810810810814E-2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148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6" workbookViewId="0">
      <selection activeCell="F25" sqref="F25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2" t="s">
        <v>2302</v>
      </c>
      <c r="B12" s="44" t="str">
        <f>IF(LEN(VLOOKUP(A12,'Species List'!$A:$G,2,FALSE))=0,"",VLOOKUP(A12,'Species List'!$A:$G,2,FALSE))</f>
        <v>Virginia stickseed</v>
      </c>
      <c r="C12" s="44">
        <f>IF(LEN(VLOOKUP(A12,'Species List'!$A:$G,3,FALSE))=0,"",VLOOKUP(A12,'Species List'!$A:$G,3,FALSE))</f>
        <v>1</v>
      </c>
      <c r="D12" s="103">
        <f>VALUE(C12)</f>
        <v>1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FAC-</v>
      </c>
      <c r="H12" s="44">
        <f>VLOOKUP(A12,'Species List'!$A:$G,7,FALSE)</f>
        <v>0</v>
      </c>
      <c r="J12" s="114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9.2307692307692313E-2</v>
      </c>
      <c r="O12" s="88">
        <f>D12*N12</f>
        <v>9.2307692307692313E-2</v>
      </c>
    </row>
    <row r="13" spans="1:15" x14ac:dyDescent="0.2">
      <c r="A13" s="108" t="s">
        <v>1974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2</v>
      </c>
      <c r="D13" s="103">
        <f t="shared" ref="D13:D76" si="0">VALUE(C13)</f>
        <v>2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4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9.2307692307692313E-2</v>
      </c>
      <c r="O13" s="102">
        <f t="shared" ref="O13:O76" si="3">D13*N13</f>
        <v>0.18461538461538463</v>
      </c>
    </row>
    <row r="14" spans="1:15" x14ac:dyDescent="0.2">
      <c r="A14" s="108" t="s">
        <v>1366</v>
      </c>
      <c r="B14" s="44" t="str">
        <f>IF(LEN(VLOOKUP(A14,'Species List'!$A:$G,2,FALSE))=0,"",VLOOKUP(A14,'Species List'!$A:$G,2,FALSE))</f>
        <v>common enchanter's nightshade</v>
      </c>
      <c r="C14" s="44">
        <f>IF(LEN(VLOOKUP(A14,'Species List'!$A:$G,3,FALSE))=0,"",VLOOKUP(A14,'Species List'!$A:$G,3,FALSE))</f>
        <v>2</v>
      </c>
      <c r="D14" s="103">
        <f t="shared" si="0"/>
        <v>2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[FACU]</v>
      </c>
      <c r="H14" s="44">
        <f>VLOOKUP(A14,'Species List'!$A:$G,7,FALSE)</f>
        <v>0</v>
      </c>
      <c r="J14" s="114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9.2307692307692313E-2</v>
      </c>
      <c r="O14" s="102">
        <f t="shared" si="3"/>
        <v>0.18461538461538463</v>
      </c>
    </row>
    <row r="15" spans="1:15" x14ac:dyDescent="0.2">
      <c r="A15" s="108" t="s">
        <v>4653</v>
      </c>
      <c r="B15" s="44" t="str">
        <f>IF(LEN(VLOOKUP(A15,'Species List'!$A:$G,2,FALSE))=0,"",VLOOKUP(A15,'Species List'!$A:$G,2,FALSE))</f>
        <v>common mullein</v>
      </c>
      <c r="C15" s="44">
        <f>IF(LEN(VLOOKUP(A15,'Species List'!$A:$G,3,FALSE))=0,"",VLOOKUP(A15,'Species List'!$A:$G,3,FALSE))</f>
        <v>0</v>
      </c>
      <c r="D15" s="103">
        <f t="shared" si="0"/>
        <v>0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UPL</v>
      </c>
      <c r="H15" s="44">
        <f>VLOOKUP(A15,'Species List'!$A:$G,7,FALSE)</f>
        <v>0</v>
      </c>
      <c r="J15" s="114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9.2307692307692313E-2</v>
      </c>
      <c r="O15" s="102">
        <f t="shared" si="3"/>
        <v>0</v>
      </c>
    </row>
    <row r="16" spans="1:15" x14ac:dyDescent="0.2">
      <c r="A16" s="108" t="s">
        <v>2187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4</v>
      </c>
      <c r="D16" s="103">
        <f t="shared" si="0"/>
        <v>4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FACU+</v>
      </c>
      <c r="H16" s="44">
        <f>VLOOKUP(A16,'Species List'!$A:$G,7,FALSE)</f>
        <v>0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9.2307692307692313E-2</v>
      </c>
      <c r="O16" s="102">
        <f t="shared" si="3"/>
        <v>0.36923076923076925</v>
      </c>
    </row>
    <row r="17" spans="1:15" x14ac:dyDescent="0.2">
      <c r="A17" s="108" t="s">
        <v>2634</v>
      </c>
      <c r="B17" s="44" t="str">
        <f>IF(LEN(VLOOKUP(A17,'Species List'!$A:$G,2,FALSE))=0,"",VLOOKUP(A17,'Species List'!$A:$G,2,FALSE))</f>
        <v>common motherwort</v>
      </c>
      <c r="C17" s="44">
        <f>IF(LEN(VLOOKUP(A17,'Species List'!$A:$G,3,FALSE))=0,"",VLOOKUP(A17,'Species List'!$A:$G,3,FALSE))</f>
        <v>0</v>
      </c>
      <c r="D17" s="103">
        <f t="shared" si="0"/>
        <v>0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9.2307692307692313E-2</v>
      </c>
      <c r="O17" s="102">
        <f t="shared" si="3"/>
        <v>0</v>
      </c>
    </row>
    <row r="18" spans="1:15" x14ac:dyDescent="0.2">
      <c r="A18" s="108" t="s">
        <v>1420</v>
      </c>
      <c r="B18" s="44" t="str">
        <f>IF(LEN(VLOOKUP(A18,'Species List'!$A:$G,2,FALSE))=0,"",VLOOKUP(A18,'Species List'!$A:$G,2,FALSE))</f>
        <v>horseweed</v>
      </c>
      <c r="C18" s="44">
        <f>IF(LEN(VLOOKUP(A18,'Species List'!$A:$G,3,FALSE))=0,"",VLOOKUP(A18,'Species List'!$A:$G,3,FALSE))</f>
        <v>0</v>
      </c>
      <c r="D18" s="103">
        <f t="shared" si="0"/>
        <v>0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[FAC-]</v>
      </c>
      <c r="H18" s="44">
        <f>VLOOKUP(A18,'Species List'!$A:$G,7,FALSE)</f>
        <v>0</v>
      </c>
      <c r="J18" s="114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9.2307692307692313E-2</v>
      </c>
      <c r="O18" s="102">
        <f t="shared" si="3"/>
        <v>0</v>
      </c>
    </row>
    <row r="19" spans="1:15" x14ac:dyDescent="0.2">
      <c r="A19" s="108" t="s">
        <v>234</v>
      </c>
      <c r="B19" s="44" t="str">
        <f>IF(LEN(VLOOKUP(A19,'Species List'!$A:$G,2,FALSE))=0,"",VLOOKUP(A19,'Species List'!$A:$G,2,FALSE))</f>
        <v>white snakeroot</v>
      </c>
      <c r="C19" s="44">
        <f>IF(LEN(VLOOKUP(A19,'Species List'!$A:$G,3,FALSE))=0,"",VLOOKUP(A19,'Species List'!$A:$G,3,FALSE))</f>
        <v>1</v>
      </c>
      <c r="D19" s="103">
        <f t="shared" si="0"/>
        <v>1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4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9.2307692307692313E-2</v>
      </c>
      <c r="O19" s="102">
        <f t="shared" si="3"/>
        <v>9.2307692307692313E-2</v>
      </c>
    </row>
    <row r="20" spans="1:15" x14ac:dyDescent="0.2">
      <c r="A20" s="108" t="s">
        <v>4559</v>
      </c>
      <c r="B20" s="44" t="str">
        <f>IF(LEN(VLOOKUP(A20,'Species List'!$A:$G,2,FALSE))=0,"",VLOOKUP(A20,'Species List'!$A:$G,2,FALSE))</f>
        <v>white clover</v>
      </c>
      <c r="C20" s="44">
        <f>IF(LEN(VLOOKUP(A20,'Species List'!$A:$G,3,FALSE))=0,"",VLOOKUP(A20,'Species List'!$A:$G,3,FALSE))</f>
        <v>0</v>
      </c>
      <c r="D20" s="103">
        <f t="shared" si="0"/>
        <v>0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FACU+</v>
      </c>
      <c r="H20" s="44">
        <f>VLOOKUP(A20,'Species List'!$A:$G,7,FALSE)</f>
        <v>0</v>
      </c>
      <c r="J20" s="11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9.2307692307692313E-2</v>
      </c>
      <c r="O20" s="102">
        <f t="shared" si="3"/>
        <v>0</v>
      </c>
    </row>
    <row r="21" spans="1:15" x14ac:dyDescent="0.2">
      <c r="A21" s="108" t="s">
        <v>5443</v>
      </c>
      <c r="B21" s="44" t="e">
        <f>IF(LEN(VLOOKUP(A21,'Species List'!$A:$G,2,FALSE))=0,"",VLOOKUP(A21,'Species List'!$A:$G,2,FALSE))</f>
        <v>#N/A</v>
      </c>
      <c r="C21" s="44">
        <v>1</v>
      </c>
      <c r="D21" s="103">
        <f t="shared" si="0"/>
        <v>1</v>
      </c>
      <c r="E21" s="44" t="e">
        <f>IF(LEN(VLOOKUP(A21,'Species List'!$A:$G,4,FALSE))=0,"",VLOOKUP(A21,'Species List'!$A:$G,4,FALSE))</f>
        <v>#N/A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4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1"/>
        <v>0.5</v>
      </c>
      <c r="N21" s="102">
        <f t="shared" si="2"/>
        <v>1.5384615384615385E-2</v>
      </c>
      <c r="O21" s="102">
        <f t="shared" si="3"/>
        <v>1.5384615384615385E-2</v>
      </c>
    </row>
    <row r="22" spans="1:15" x14ac:dyDescent="0.2">
      <c r="A22" s="108" t="s">
        <v>2132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3</v>
      </c>
      <c r="D22" s="103">
        <f t="shared" si="0"/>
        <v>3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UPL</v>
      </c>
      <c r="H22" s="44">
        <f>VLOOKUP(A22,'Species List'!$A:$G,7,FALSE)</f>
        <v>0</v>
      </c>
      <c r="J22" s="11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9.2307692307692313E-2</v>
      </c>
      <c r="O22" s="102">
        <f t="shared" si="3"/>
        <v>0.27692307692307694</v>
      </c>
    </row>
    <row r="23" spans="1:15" x14ac:dyDescent="0.2">
      <c r="A23" s="108" t="s">
        <v>5437</v>
      </c>
      <c r="B23" s="44" t="str">
        <f>IF(LEN(VLOOKUP(A23,'Species List'!$A:$G,2,FALSE))=0,"",VLOOKUP(A23,'Species List'!$A:$G,2,FALSE))</f>
        <v>white lamb's quarters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FAC-</v>
      </c>
      <c r="H23" s="44">
        <f>VLOOKUP(A23,'Species List'!$A:$G,7,FALSE)</f>
        <v>0</v>
      </c>
      <c r="J23" s="114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1"/>
        <v>0.5</v>
      </c>
      <c r="N23" s="102">
        <f t="shared" si="2"/>
        <v>1.5384615384615385E-2</v>
      </c>
      <c r="O23" s="102">
        <f t="shared" si="3"/>
        <v>0</v>
      </c>
    </row>
    <row r="24" spans="1:15" x14ac:dyDescent="0.2">
      <c r="A24" s="111" t="s">
        <v>5444</v>
      </c>
      <c r="B24" s="44" t="e">
        <f>IF(LEN(VLOOKUP(A24,'Species List'!$A:$G,2,FALSE))=0,"",VLOOKUP(A24,'Species List'!$A:$G,2,FALSE))</f>
        <v>#N/A</v>
      </c>
      <c r="C24" s="44">
        <v>2</v>
      </c>
      <c r="D24" s="103">
        <f t="shared" si="0"/>
        <v>2</v>
      </c>
      <c r="E24" s="44" t="e">
        <f>IF(LEN(VLOOKUP(A24,'Species List'!$A:$G,4,FALSE))=0,"",VLOOKUP(A24,'Species List'!$A:$G,4,FALSE))</f>
        <v>#N/A</v>
      </c>
      <c r="F24" s="44" t="s">
        <v>147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114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1"/>
        <v>0.5</v>
      </c>
      <c r="N24" s="102">
        <f t="shared" si="2"/>
        <v>1.5384615384615385E-2</v>
      </c>
      <c r="O24" s="102">
        <f t="shared" si="3"/>
        <v>3.0769230769230771E-2</v>
      </c>
    </row>
    <row r="25" spans="1:15" x14ac:dyDescent="0.2">
      <c r="A25" s="113" t="s">
        <v>462</v>
      </c>
      <c r="B25" s="44" t="str">
        <f>IF(LEN(VLOOKUP(A25,'Species List'!$A:$G,2,FALSE))=0,"",VLOOKUP(A25,'Species List'!$A:$G,2,FALSE))</f>
        <v>common burdock</v>
      </c>
      <c r="C25" s="44">
        <f>IF(LEN(VLOOKUP(A25,'Species List'!$A:$G,3,FALSE))=0,"",VLOOKUP(A25,'Species List'!$A:$G,3,FALSE))</f>
        <v>0</v>
      </c>
      <c r="D25" s="103">
        <f t="shared" si="0"/>
        <v>0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116" t="s">
        <v>5420</v>
      </c>
      <c r="K25" s="47" t="str">
        <f>VLOOKUP(J25,'Species List'!$H$1:$J$9,2,FALSE)</f>
        <v>&gt;0-1%</v>
      </c>
      <c r="L25" s="47">
        <f>VLOOKUP(K25,'Species List'!$I$1:$N$8,2,FALSE)</f>
        <v>0.5</v>
      </c>
      <c r="M25" s="104">
        <f t="shared" si="1"/>
        <v>0.5</v>
      </c>
      <c r="N25" s="102">
        <f t="shared" si="2"/>
        <v>1.5384615384615385E-2</v>
      </c>
      <c r="O25" s="102">
        <f t="shared" si="3"/>
        <v>0</v>
      </c>
    </row>
    <row r="26" spans="1:15" x14ac:dyDescent="0.2">
      <c r="A26" s="108" t="s">
        <v>2241</v>
      </c>
      <c r="B26" s="44" t="str">
        <f>IF(LEN(VLOOKUP(A26,'Species List'!$A:$G,2,FALSE))=0,"",VLOOKUP(A26,'Species List'!$A:$G,2,FALSE))</f>
        <v>white avens</v>
      </c>
      <c r="C26" s="44">
        <f>IF(LEN(VLOOKUP(A26,'Species List'!$A:$G,3,FALSE))=0,"",VLOOKUP(A26,'Species List'!$A:$G,3,FALSE))</f>
        <v>2</v>
      </c>
      <c r="D26" s="103">
        <f t="shared" si="0"/>
        <v>2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</v>
      </c>
      <c r="H26" s="44">
        <f>VLOOKUP(A26,'Species List'!$A:$G,7,FALSE)</f>
        <v>0</v>
      </c>
      <c r="J26" s="114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1"/>
        <v>0.5</v>
      </c>
      <c r="N26" s="102">
        <f t="shared" si="2"/>
        <v>1.5384615384615385E-2</v>
      </c>
      <c r="O26" s="102">
        <f t="shared" si="3"/>
        <v>3.0769230769230771E-2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0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1"/>
        <v>#N/A</v>
      </c>
      <c r="N27" s="102" t="e">
        <f t="shared" si="2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0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1"/>
        <v>#N/A</v>
      </c>
      <c r="N28" s="102" t="e">
        <f t="shared" si="2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0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1"/>
        <v>#N/A</v>
      </c>
      <c r="N29" s="102" t="e">
        <f t="shared" si="2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0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1"/>
        <v>#N/A</v>
      </c>
      <c r="N30" s="102" t="e">
        <f t="shared" si="2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1"/>
        <v>#N/A</v>
      </c>
      <c r="N31" s="102" t="e">
        <f t="shared" si="2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0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102" t="e">
        <f t="shared" si="2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0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102" t="e">
        <f t="shared" si="2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2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32.5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17" sqref="F17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8"/>
      <c r="C7" s="138"/>
      <c r="D7" s="138"/>
      <c r="E7" s="138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5448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08" t="s">
        <v>5445</v>
      </c>
      <c r="B12" s="44" t="e">
        <f>IF(LEN(VLOOKUP(A12,'Species List'!$A:$G,2,FALSE))=0,"",VLOOKUP(A12,'Species List'!$A:$G,2,FALSE))</f>
        <v>#N/A</v>
      </c>
      <c r="C12" s="44">
        <v>3</v>
      </c>
      <c r="D12" s="103">
        <f>VALUE(C12)</f>
        <v>3</v>
      </c>
      <c r="E12" s="44" t="e">
        <f>IF(LEN(VLOOKUP(A12,'Species List'!$A:$G,4,FALSE))=0,"",VLOOKUP(A12,'Species List'!$A:$G,4,FALSE))</f>
        <v>#N/A</v>
      </c>
      <c r="F12" s="44" t="s">
        <v>147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114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0.13953488372093023</v>
      </c>
      <c r="O12" s="31">
        <f>D12*N12</f>
        <v>0.41860465116279066</v>
      </c>
    </row>
    <row r="13" spans="1:15" x14ac:dyDescent="0.2">
      <c r="A13" s="110" t="s">
        <v>2622</v>
      </c>
      <c r="B13" s="44" t="str">
        <f>IF(LEN(VLOOKUP(A13,'Species List'!$A:$G,2,FALSE))=0,"",VLOOKUP(A13,'Species List'!$A:$G,2,FALSE))</f>
        <v>white grass</v>
      </c>
      <c r="C13" s="44">
        <f>IF(LEN(VLOOKUP(A13,'Species List'!$A:$G,3,FALSE))=0,"",VLOOKUP(A13,'Species List'!$A:$G,3,FALSE))</f>
        <v>5</v>
      </c>
      <c r="D13" s="103">
        <f t="shared" ref="D13:D18" si="1">VALUE(C13)</f>
        <v>5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114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0.13953488372093023</v>
      </c>
      <c r="O13" s="102">
        <f t="shared" ref="O13:O76" si="3">D13*N13</f>
        <v>0.69767441860465118</v>
      </c>
    </row>
    <row r="14" spans="1:15" x14ac:dyDescent="0.2">
      <c r="A14" s="110" t="s">
        <v>1893</v>
      </c>
      <c r="B14" s="44" t="str">
        <f>IF(LEN(VLOOKUP(A14,'Species List'!$A:$G,2,FALSE))=0,"",VLOOKUP(A14,'Species List'!$A:$G,2,FALSE))</f>
        <v>Virginia wildrye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FACW-</v>
      </c>
      <c r="H14" s="44">
        <f>VLOOKUP(A14,'Species List'!$A:$G,7,FALSE)</f>
        <v>0</v>
      </c>
      <c r="J14" s="114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102">
        <f t="shared" si="0"/>
        <v>2.3255813953488372E-2</v>
      </c>
      <c r="O14" s="102">
        <f t="shared" si="3"/>
        <v>9.3023255813953487E-2</v>
      </c>
    </row>
    <row r="15" spans="1:15" x14ac:dyDescent="0.2">
      <c r="A15" s="108" t="s">
        <v>2001</v>
      </c>
      <c r="B15" s="44" t="str">
        <f>IF(LEN(VLOOKUP(A15,'Species List'!$A:$G,2,FALSE))=0,"",VLOOKUP(A15,'Species List'!$A:$G,2,FALSE))</f>
        <v>hairy cupgrass</v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4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0.13953488372093023</v>
      </c>
      <c r="O15" s="102">
        <f t="shared" si="3"/>
        <v>0</v>
      </c>
    </row>
    <row r="16" spans="1:15" x14ac:dyDescent="0.2">
      <c r="A16" s="108" t="s">
        <v>5446</v>
      </c>
      <c r="B16" s="44" t="e">
        <f>IF(LEN(VLOOKUP(A16,'Species List'!$A:$G,2,FALSE))=0,"",VLOOKUP(A16,'Species List'!$A:$G,2,FALSE))</f>
        <v>#N/A</v>
      </c>
      <c r="C16" s="44">
        <v>2</v>
      </c>
      <c r="D16" s="103">
        <f t="shared" si="1"/>
        <v>2</v>
      </c>
      <c r="E16" s="44" t="e">
        <f>IF(LEN(VLOOKUP(A16,'Species List'!$A:$G,4,FALSE))=0,"",VLOOKUP(A16,'Species List'!$A:$G,4,FALSE))</f>
        <v>#N/A</v>
      </c>
      <c r="F16" s="44" t="s">
        <v>147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0.13953488372093023</v>
      </c>
      <c r="O16" s="102">
        <f t="shared" si="3"/>
        <v>0.27906976744186046</v>
      </c>
    </row>
    <row r="17" spans="1:15" x14ac:dyDescent="0.2">
      <c r="A17" s="108" t="s">
        <v>5447</v>
      </c>
      <c r="B17" s="44" t="e">
        <f>IF(LEN(VLOOKUP(A17,'Species List'!$A:$G,2,FALSE))=0,"",VLOOKUP(A17,'Species List'!$A:$G,2,FALSE))</f>
        <v>#N/A</v>
      </c>
      <c r="C17" s="44">
        <v>3</v>
      </c>
      <c r="D17" s="103">
        <f t="shared" si="1"/>
        <v>3</v>
      </c>
      <c r="E17" s="44" t="e">
        <f>IF(LEN(VLOOKUP(A17,'Species List'!$A:$G,4,FALSE))=0,"",VLOOKUP(A17,'Species List'!$A:$G,4,FALSE))</f>
        <v>#N/A</v>
      </c>
      <c r="F17" s="44" t="s">
        <v>147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0.13953488372093023</v>
      </c>
      <c r="O17" s="102">
        <f t="shared" si="3"/>
        <v>0.41860465116279066</v>
      </c>
    </row>
    <row r="18" spans="1:15" x14ac:dyDescent="0.2">
      <c r="A18" s="108" t="s">
        <v>4126</v>
      </c>
      <c r="B18" s="44" t="str">
        <f>IF(LEN(VLOOKUP(A18,'Species List'!$A:$G,2,FALSE))=0,"",VLOOKUP(A18,'Species List'!$A:$G,2,FALSE))</f>
        <v>green foxtail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114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0.13953488372093023</v>
      </c>
      <c r="O18" s="102">
        <f t="shared" si="3"/>
        <v>0</v>
      </c>
    </row>
    <row r="19" spans="1:15" x14ac:dyDescent="0.2">
      <c r="A19" s="108" t="s">
        <v>3445</v>
      </c>
      <c r="B19" s="44" t="str">
        <f>IF(LEN(VLOOKUP(A19,'Species List'!$A:$G,2,FALSE))=0,"",VLOOKUP(A19,'Species List'!$A:$G,2,FALSE))</f>
        <v>Kentucky bluegrass</v>
      </c>
      <c r="C19" s="44">
        <f>IF(LEN(VLOOKUP(A19,'Species List'!$A:$G,3,FALSE))=0,"",VLOOKUP(A19,'Species List'!$A:$G,3,FALSE))</f>
        <v>0</v>
      </c>
      <c r="D19" s="103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</v>
      </c>
      <c r="H19" s="44">
        <f>VLOOKUP(A19,'Species List'!$A:$G,7,FALSE)</f>
        <v>0</v>
      </c>
      <c r="J19" s="114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0.13953488372093023</v>
      </c>
      <c r="O19" s="102">
        <f t="shared" si="3"/>
        <v>0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21.5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2" t="s">
        <v>4840</v>
      </c>
      <c r="B1" s="142"/>
      <c r="C1" s="142"/>
      <c r="D1" s="142"/>
      <c r="E1" s="142"/>
      <c r="F1" s="142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14</v>
      </c>
      <c r="C4" s="106">
        <f>COUNTIF(Forbs!$F$10:$F$148,"Native")</f>
        <v>10</v>
      </c>
      <c r="D4" s="106">
        <f>COUNTIF(Grasses!$F$10:$F$149,"Native")</f>
        <v>5</v>
      </c>
      <c r="E4" s="106">
        <f>AVERAGE(B4:D4)</f>
        <v>9.6666666666666661</v>
      </c>
      <c r="F4" s="106">
        <f>SUM(B4:D4)</f>
        <v>29</v>
      </c>
    </row>
    <row r="5" spans="1:6" ht="17.399999999999999" x14ac:dyDescent="0.3">
      <c r="A5" s="53" t="s">
        <v>4845</v>
      </c>
      <c r="B5" s="106">
        <f>COUNTIF(Woody!$F10:$F199,"Introduced")</f>
        <v>2</v>
      </c>
      <c r="C5" s="106">
        <f>COUNTIF(Forbs!$F10:$F199,"Introduced")</f>
        <v>5</v>
      </c>
      <c r="D5" s="106">
        <f>COUNTIF(Grasses!$F10:$F199,"Introduced")</f>
        <v>3</v>
      </c>
      <c r="E5" s="106">
        <f t="shared" ref="E5:E6" si="0">AVERAGE(B5:D5)</f>
        <v>3.3333333333333335</v>
      </c>
      <c r="F5" s="106">
        <f>SUM(B5:D5)</f>
        <v>10</v>
      </c>
    </row>
    <row r="6" spans="1:6" s="83" customFormat="1" ht="19.8" x14ac:dyDescent="0.4">
      <c r="A6" s="53" t="s">
        <v>5422</v>
      </c>
      <c r="B6" s="106">
        <f>SUM(B4:B5)</f>
        <v>16</v>
      </c>
      <c r="C6" s="106">
        <f>SUM(C4:C5)</f>
        <v>15</v>
      </c>
      <c r="D6" s="106">
        <f>SUM(D4:D5)</f>
        <v>8</v>
      </c>
      <c r="E6" s="106">
        <f t="shared" si="0"/>
        <v>13</v>
      </c>
      <c r="F6" s="106">
        <f>SUM(B6:D6)</f>
        <v>39</v>
      </c>
    </row>
    <row r="7" spans="1:6" ht="17.399999999999999" x14ac:dyDescent="0.3">
      <c r="A7" s="53" t="s">
        <v>4846</v>
      </c>
      <c r="B7" s="106">
        <f>AVERAGEIF(Woody!D12:D150,"&gt;0")</f>
        <v>3.3571428571428572</v>
      </c>
      <c r="C7" s="106">
        <f>AVERAGEIF(Forbs!D12:D150,"&gt;0")</f>
        <v>2</v>
      </c>
      <c r="D7" s="106">
        <f>AVERAGEIF(Grasses!D12:D150,"&gt;0")</f>
        <v>3.4</v>
      </c>
      <c r="E7" s="106">
        <f>AVERAGE(B7:D7)</f>
        <v>2.9190476190476193</v>
      </c>
      <c r="F7" s="106">
        <f>(SUMIF(Woody!D12:D150,"&gt;0")+SUMIF(Forbs!D12:D150,"&gt;0")+SUMIF(Grasses!D12:D150,"&gt;0"))/(COUNTIF(Woody!D12:D150,"&gt;0")+COUNTIF(Forbs!D12:D150,"&gt;0")+COUNTIF(Grasses!D12:D150,"&gt;0"))</f>
        <v>2.9285714285714284</v>
      </c>
    </row>
    <row r="8" spans="1:6" s="31" customFormat="1" ht="19.8" x14ac:dyDescent="0.4">
      <c r="A8" s="53" t="s">
        <v>5423</v>
      </c>
      <c r="B8" s="106">
        <f>AVERAGEIF(Woody!D12:D150,"&gt;=0")</f>
        <v>2.9375</v>
      </c>
      <c r="C8" s="106">
        <f>AVERAGEIF(Forbs!D12:D150,"&gt;=0")</f>
        <v>1.2</v>
      </c>
      <c r="D8" s="106">
        <f>AVERAGEIF(Grasses!D12:D150,"&gt;=0")</f>
        <v>2.125</v>
      </c>
      <c r="E8" s="106">
        <f>AVERAGE(B8:D8)</f>
        <v>2.0874999999999999</v>
      </c>
      <c r="F8" s="106">
        <f>(SUMIF(Woody!D12:D150,"&gt;=0")+SUMIF(Forbs!D12:D150,"&gt;=0")+SUMIF(Grasses!D12:D150,"&gt;=0"))/(COUNTIF(Woody!D12:D150,"&gt;=0")+COUNTIF(Forbs!D12:D150,"&gt;=0")+COUNTIF(Grasses!D12:D150,"&gt;=0"))</f>
        <v>2.1025641025641026</v>
      </c>
    </row>
    <row r="9" spans="1:6" ht="17.399999999999999" x14ac:dyDescent="0.3">
      <c r="A9" s="53" t="s">
        <v>4839</v>
      </c>
      <c r="B9" s="106">
        <f>SQRT(B4)*B7</f>
        <v>12.561278369883945</v>
      </c>
      <c r="C9" s="106">
        <f>SQRT(C4)*C7</f>
        <v>6.324555320336759</v>
      </c>
      <c r="D9" s="106">
        <f>SQRT(D4)*D7</f>
        <v>7.6026311234992852</v>
      </c>
      <c r="E9" s="106">
        <f>SQRT(E4)*E7</f>
        <v>9.07568787229118</v>
      </c>
      <c r="F9" s="106">
        <f>SQRT(F4)*F7</f>
        <v>15.770839792322475</v>
      </c>
    </row>
    <row r="10" spans="1:6" s="84" customFormat="1" ht="19.8" x14ac:dyDescent="0.4">
      <c r="A10" s="53" t="s">
        <v>5424</v>
      </c>
      <c r="B10" s="106">
        <f>SQRT(B6)*B8</f>
        <v>11.75</v>
      </c>
      <c r="C10" s="106">
        <f>SQRT(C6)*C8</f>
        <v>4.6475800154489004</v>
      </c>
      <c r="D10" s="106">
        <f>SQRT(D6)*D8</f>
        <v>6.0104076400856545</v>
      </c>
      <c r="E10" s="106">
        <f>SQRT(E6)*E8</f>
        <v>7.5265882875310766</v>
      </c>
      <c r="F10" s="106">
        <f>SQRT(F6)*F8</f>
        <v>13.130508612017145</v>
      </c>
    </row>
    <row r="11" spans="1:6" ht="17.399999999999999" x14ac:dyDescent="0.3">
      <c r="A11" s="53" t="s">
        <v>4847</v>
      </c>
      <c r="B11" s="106">
        <f>SUMIF(Woody!$M$10:$M$150,"&gt;=0")</f>
        <v>148</v>
      </c>
      <c r="C11" s="106">
        <f>SUMIF(Forbs!$M$10:$M$151,"&gt;=0")</f>
        <v>32.5</v>
      </c>
      <c r="D11" s="106">
        <f>SUMIF(Grasses!$M$10:$M$150,"&gt;=0")</f>
        <v>21.5</v>
      </c>
      <c r="E11" s="106">
        <f>AVERAGE(B11:D11)</f>
        <v>67.333333333333329</v>
      </c>
      <c r="F11" s="106">
        <f>SUM(B11:D11)</f>
        <v>202</v>
      </c>
    </row>
    <row r="12" spans="1:6" ht="17.399999999999999" x14ac:dyDescent="0.3">
      <c r="A12" s="53" t="s">
        <v>5388</v>
      </c>
      <c r="B12" s="106">
        <f>SUMIF(Woody!$F$10:$F$150,"Introduced",Woody!$L$10:$L$150)</f>
        <v>63</v>
      </c>
      <c r="C12" s="106">
        <f>SUMIF(Forbs!$F$10:$F$151,"Introduced",Forbs!$L$10:$L$151)</f>
        <v>10</v>
      </c>
      <c r="D12" s="106">
        <f>SUMIF(Grasses!$F$10:$F$150,"Introduced",Grasses!$L$10:$L$150)</f>
        <v>9</v>
      </c>
      <c r="E12" s="106">
        <f>AVERAGE(B12:D12)</f>
        <v>27.333333333333332</v>
      </c>
      <c r="F12" s="106">
        <f>SUM(B12:D12)</f>
        <v>82</v>
      </c>
    </row>
    <row r="13" spans="1:6" ht="18" thickBot="1" x14ac:dyDescent="0.35">
      <c r="A13" s="54" t="s">
        <v>4848</v>
      </c>
      <c r="B13" s="107">
        <f>B12/B11</f>
        <v>0.42567567567567566</v>
      </c>
      <c r="C13" s="107">
        <f>C12/C11</f>
        <v>0.30769230769230771</v>
      </c>
      <c r="D13" s="107">
        <f>D12/D11</f>
        <v>0.41860465116279072</v>
      </c>
      <c r="E13" s="107">
        <f>E12/E11</f>
        <v>0.40594059405940597</v>
      </c>
      <c r="F13" s="107">
        <f>F12/F11</f>
        <v>0.40594059405940597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2.3277027027027026</v>
      </c>
      <c r="C15" s="105">
        <f>SUMIF(Forbs!$O$10:$O$150,"&gt;=0")</f>
        <v>1.2769230769230768</v>
      </c>
      <c r="D15" s="105">
        <f>SUMIF(Grasses!$O$10:$O$150,"&gt;=0")</f>
        <v>1.9069767441860463</v>
      </c>
      <c r="E15" s="105">
        <f>AVERAGE(B15:D15)</f>
        <v>1.8372008412706087</v>
      </c>
      <c r="F15" s="106">
        <f>SUM(B15:D15)</f>
        <v>5.5116025238118258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2022-02-03T19:54:04Z</dcterms:modified>
</cp:coreProperties>
</file>