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67050614-79AB-4232-A5FE-A59F403ACE1B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7" i="10"/>
  <c r="C18" i="10"/>
  <c r="C19" i="10"/>
  <c r="F14" i="9"/>
  <c r="F15" i="9"/>
  <c r="F16" i="9"/>
  <c r="F17" i="9"/>
  <c r="F18" i="9"/>
  <c r="C13" i="9"/>
  <c r="C14" i="9"/>
  <c r="C15" i="9"/>
  <c r="C16" i="9"/>
  <c r="C17" i="9"/>
  <c r="C18" i="9"/>
  <c r="B12" i="9" l="1"/>
  <c r="D16" i="9"/>
  <c r="C13" i="6" l="1"/>
  <c r="C14" i="6"/>
  <c r="C15" i="6"/>
  <c r="C16" i="6"/>
  <c r="C17" i="6"/>
  <c r="C18" i="6"/>
  <c r="C19" i="6"/>
  <c r="C20" i="6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4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B7" i="7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/>
  <c r="B28" i="9"/>
  <c r="C28" i="9"/>
  <c r="D28" i="9" s="1"/>
  <c r="E28" i="9"/>
  <c r="F28" i="9"/>
  <c r="G28" i="9"/>
  <c r="H28" i="9"/>
  <c r="K28" i="9"/>
  <c r="L28" i="9"/>
  <c r="B29" i="9"/>
  <c r="C29" i="9"/>
  <c r="D29" i="9" s="1"/>
  <c r="E29" i="9"/>
  <c r="F29" i="9"/>
  <c r="G29" i="9"/>
  <c r="H29" i="9"/>
  <c r="K29" i="9"/>
  <c r="L29" i="9" s="1"/>
  <c r="B11" i="7" l="1"/>
  <c r="B5" i="7"/>
  <c r="B4" i="7"/>
  <c r="B12" i="7"/>
  <c r="B8" i="7"/>
  <c r="M150" i="6"/>
  <c r="B13" i="7" l="1"/>
  <c r="B9" i="7"/>
  <c r="B6" i="7"/>
  <c r="H15" i="6"/>
  <c r="H14" i="6"/>
  <c r="H13" i="6"/>
  <c r="H12" i="6"/>
  <c r="H14" i="10"/>
  <c r="H13" i="10"/>
  <c r="H12" i="10"/>
  <c r="B10" i="7" l="1"/>
  <c r="K148" i="10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C7" i="7" l="1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N14" i="10" l="1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D12" i="7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F11" i="7" s="1"/>
  <c r="F13" i="7" s="1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3" i="7" l="1"/>
  <c r="E11" i="7"/>
  <c r="E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<sst xmlns="http://schemas.openxmlformats.org/spreadsheetml/2006/main" count="13103" uniqueCount="5444">
  <si>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</si>
  <si>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</si>
  <si>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</si>
  <si>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</si>
  <si>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</si>
  <si>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</si>
  <si>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</si>
  <si>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</si>
  <si>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</si>
  <si>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</si>
  <si>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</si>
  <si>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</si>
  <si>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</si>
  <si>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</si>
  <si>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</si>
  <si>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</si>
  <si>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</si>
  <si>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</si>
  <si>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</si>
  <si>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</si>
  <si>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</si>
  <si>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</si>
  <si>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</si>
  <si>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</si>
  <si>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</si>
  <si>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</si>
  <si>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</si>
  <si>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</si>
  <si>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</si>
  <si>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</si>
  <si>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</si>
  <si>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</si>
  <si>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</si>
  <si>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</si>
  <si>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</si>
  <si>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</si>
  <si>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</si>
  <si>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</si>
  <si>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</si>
  <si>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</si>
  <si>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</si>
  <si>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</si>
  <si>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</si>
  <si>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</si>
  <si>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</si>
  <si>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</si>
  <si>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</si>
  <si>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</si>
  <si>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</si>
  <si>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</si>
  <si>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</si>
  <si>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</si>
  <si>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</si>
  <si>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</si>
  <si>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</si>
  <si>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</si>
  <si>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</si>
  <si>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</si>
  <si>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</si>
  <si>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</si>
  <si>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</si>
  <si>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</si>
  <si>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</si>
  <si>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</si>
  <si>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</si>
  <si>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</si>
  <si>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</si>
  <si>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</si>
  <si>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</si>
  <si>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</si>
  <si>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</si>
  <si>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</si>
  <si>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</si>
  <si>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</si>
  <si>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</si>
  <si>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</si>
  <si>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</si>
  <si>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</si>
  <si>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</si>
  <si>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</si>
  <si>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</si>
  <si>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</si>
  <si>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</si>
  <si>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</si>
  <si>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</si>
  <si>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</si>
  <si>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</si>
  <si>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</si>
  <si>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</si>
  <si>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</si>
  <si>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</si>
  <si>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</si>
  <si>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</si>
  <si>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</si>
  <si>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</si>
  <si>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</si>
  <si>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</si>
  <si>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</si>
  <si>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</si>
  <si>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</si>
  <si>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</si>
  <si>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</si>
  <si>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</si>
  <si>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</si>
  <si>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</si>
  <si>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</si>
  <si>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</si>
  <si>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</si>
  <si>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</si>
  <si>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</si>
  <si>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</si>
  <si>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</si>
  <si>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</si>
  <si>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</si>
  <si>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</si>
  <si>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</si>
  <si>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</si>
  <si>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</si>
  <si>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</si>
  <si>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</si>
  <si>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</si>
  <si>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</si>
  <si>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</si>
  <si>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</si>
  <si>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</si>
  <si>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</si>
  <si>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</si>
  <si>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</si>
  <si>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</si>
  <si>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</si>
  <si>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</si>
  <si>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</si>
  <si>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</si>
  <si>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</si>
  <si>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</si>
  <si>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</si>
  <si>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</si>
  <si>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</si>
  <si>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</si>
  <si>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</si>
  <si>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</si>
  <si>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</si>
  <si>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</si>
  <si>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</si>
  <si>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</si>
  <si>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</si>
  <si>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</si>
  <si>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</si>
  <si>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</si>
  <si>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</si>
  <si>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</si>
  <si>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</si>
  <si>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</si>
  <si>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</si>
  <si>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</si>
  <si>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</si>
  <si>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</si>
  <si>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</si>
  <si>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</si>
  <si>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</si>
  <si>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</si>
  <si>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</si>
  <si>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</si>
  <si>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</si>
  <si>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</si>
  <si>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</si>
  <si>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</si>
  <si>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</si>
  <si>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</si>
  <si>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</si>
  <si>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</si>
  <si>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</si>
  <si>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</si>
  <si>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</si>
  <si>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</si>
  <si>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</si>
  <si>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</si>
  <si>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</si>
  <si>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</si>
  <si>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</si>
  <si>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</si>
  <si>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</si>
  <si>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</si>
  <si>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</si>
  <si>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</si>
  <si>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</si>
  <si>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</si>
  <si>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</si>
  <si>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</si>
  <si>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</si>
  <si>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</si>
  <si>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</si>
  <si>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</si>
  <si>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</si>
  <si>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</si>
  <si>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</si>
  <si>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</si>
  <si>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</si>
  <si>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</si>
  <si>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</si>
  <si>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</si>
  <si>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</si>
  <si>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</si>
  <si>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</si>
  <si>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</si>
  <si>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</si>
  <si>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</si>
  <si>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</si>
  <si>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</si>
  <si>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</si>
  <si>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</si>
  <si>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</si>
  <si>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</si>
  <si>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</si>
  <si>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</si>
  <si>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</si>
  <si>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</si>
  <si>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</si>
  <si>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</si>
  <si>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</si>
  <si>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</si>
  <si>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</si>
  <si>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</si>
  <si>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</si>
  <si>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</si>
  <si>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</si>
  <si>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</si>
  <si>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</si>
  <si>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</si>
  <si>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</si>
  <si>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</si>
  <si>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</si>
  <si>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</si>
  <si>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</si>
  <si>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</si>
  <si>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</si>
  <si>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</si>
  <si>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</si>
  <si>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</si>
  <si>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</si>
  <si>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</si>
  <si>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</si>
  <si>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</si>
  <si>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</si>
  <si>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</si>
  <si>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</si>
  <si>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</si>
  <si>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</si>
  <si>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</si>
  <si>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</si>
  <si>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</si>
  <si>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</si>
  <si>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</si>
  <si>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</si>
  <si>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</si>
  <si>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</si>
  <si>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</si>
  <si>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</si>
  <si>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</si>
  <si>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</si>
  <si>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</si>
  <si>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</si>
  <si>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</si>
  <si>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</si>
  <si>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</si>
  <si>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</si>
  <si>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</si>
  <si>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</si>
  <si>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</si>
  <si>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</si>
  <si>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</si>
  <si>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</si>
  <si>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</si>
  <si>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</si>
  <si>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</si>
  <si>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</si>
  <si>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</si>
  <si>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</si>
  <si>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</si>
  <si>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</si>
  <si>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</si>
  <si>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</si>
  <si>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</si>
  <si>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</si>
  <si>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</si>
  <si>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</si>
  <si>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</si>
  <si>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</si>
  <si>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</si>
  <si>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</si>
  <si>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</si>
  <si>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</si>
  <si>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</si>
  <si>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</si>
  <si>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</si>
  <si>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</si>
  <si>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</si>
  <si>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</si>
  <si>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</si>
  <si>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</si>
  <si>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</si>
  <si>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</si>
  <si>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</si>
  <si>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</si>
  <si>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</si>
  <si>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</si>
  <si>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</si>
  <si>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</si>
  <si>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</si>
  <si>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</si>
  <si>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</si>
  <si>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</si>
  <si>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</si>
  <si>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</si>
  <si>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</si>
  <si>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</si>
  <si>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</si>
  <si>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</si>
  <si>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</si>
  <si>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</si>
  <si>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</si>
  <si>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</si>
  <si>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</si>
  <si>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</si>
  <si>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</si>
  <si>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</si>
  <si>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</si>
  <si>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</si>
  <si>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</si>
  <si>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</si>
  <si>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</si>
  <si>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</si>
  <si>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</si>
  <si>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</si>
  <si>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</si>
  <si>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</si>
  <si>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</si>
  <si>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</si>
  <si>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</si>
  <si>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</si>
  <si>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</si>
  <si>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</si>
  <si>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</si>
  <si>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</si>
  <si>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</si>
  <si>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</si>
  <si>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</si>
  <si>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</si>
  <si>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</si>
  <si>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</si>
  <si>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</si>
  <si>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</si>
  <si>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</si>
  <si>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</si>
  <si>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</si>
  <si>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</si>
  <si>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</si>
  <si>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</si>
  <si>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</si>
  <si>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</si>
  <si>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</si>
  <si>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</si>
  <si>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</si>
  <si>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</si>
  <si>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</si>
  <si>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</si>
  <si>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</si>
  <si>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</si>
  <si>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</si>
  <si>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</si>
  <si>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</si>
  <si>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</si>
  <si>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</si>
  <si>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</si>
  <si>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</si>
  <si>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</si>
  <si>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</si>
  <si>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</si>
  <si>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</si>
  <si>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</si>
  <si>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</si>
  <si>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</si>
  <si>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</si>
  <si>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</si>
  <si>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</si>
  <si>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</si>
  <si>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</si>
  <si>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</si>
  <si>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</si>
  <si>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</si>
  <si>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</si>
  <si>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</si>
  <si>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</si>
  <si>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</si>
  <si>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</si>
  <si>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</si>
  <si>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</si>
  <si>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</si>
  <si>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</si>
  <si>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</si>
  <si>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</si>
  <si>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</si>
  <si>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</si>
  <si>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</si>
  <si>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</si>
  <si>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</si>
  <si>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</si>
  <si>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</si>
  <si>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</si>
  <si>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</si>
  <si>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</si>
  <si>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</si>
  <si>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</si>
  <si>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</si>
  <si>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</si>
  <si>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</si>
  <si>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</si>
  <si>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</si>
  <si>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</si>
  <si>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</si>
  <si>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</si>
  <si>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</si>
  <si>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</si>
  <si>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</si>
  <si>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</si>
  <si>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</si>
  <si>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</si>
  <si>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</si>
  <si>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</si>
  <si>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</si>
  <si>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</si>
  <si>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</si>
  <si>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</si>
  <si>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</si>
  <si>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</si>
  <si>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</si>
  <si>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</si>
  <si>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</si>
  <si>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</si>
  <si>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</si>
  <si>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</si>
  <si>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</si>
  <si>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</si>
  <si>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</si>
  <si>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</si>
  <si>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</si>
  <si>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</si>
  <si>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</si>
  <si>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</si>
  <si>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</si>
  <si>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</si>
  <si>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</si>
  <si>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</si>
  <si>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</si>
  <si>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</si>
  <si>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</si>
  <si>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</si>
  <si>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</si>
  <si>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</si>
  <si>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</si>
  <si>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</si>
  <si>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</si>
  <si>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</si>
  <si>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</si>
  <si>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</si>
  <si>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</si>
  <si>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</si>
  <si>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</si>
  <si>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</si>
  <si>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</si>
  <si>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</si>
  <si>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</si>
  <si>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</si>
  <si>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</si>
  <si>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</si>
  <si>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</si>
  <si>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</si>
  <si>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</si>
  <si>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</si>
  <si>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</si>
  <si>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</si>
  <si>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</si>
  <si>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</si>
  <si>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</si>
  <si>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</si>
  <si>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</si>
  <si>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</si>
  <si>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</si>
  <si>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</si>
  <si>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</si>
  <si>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</si>
  <si>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</si>
  <si>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</si>
  <si>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</si>
  <si>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</si>
  <si>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</si>
  <si>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</si>
  <si>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</si>
  <si>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</si>
  <si>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</si>
  <si>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</si>
  <si>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</si>
  <si>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</si>
  <si>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</si>
  <si>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</si>
  <si>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</si>
  <si>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</si>
  <si>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</si>
  <si>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</si>
  <si>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</si>
  <si>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</si>
  <si>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</si>
  <si>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</si>
  <si>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</si>
  <si>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</si>
  <si>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</si>
  <si>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</si>
  <si>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</si>
  <si>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</si>
  <si>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</si>
  <si>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</si>
  <si>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</si>
  <si>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</si>
  <si>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</si>
  <si>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</si>
  <si>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</si>
  <si>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</si>
  <si>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</si>
  <si>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</si>
  <si>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</si>
  <si>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</si>
  <si>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</si>
  <si>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</si>
  <si>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</si>
  <si>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</si>
  <si>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</si>
  <si>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</si>
  <si>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</si>
  <si>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</si>
  <si>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</si>
  <si>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</si>
  <si>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</si>
  <si>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</si>
  <si>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</si>
  <si>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</si>
  <si>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</si>
  <si>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</si>
  <si>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</si>
  <si>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</si>
  <si>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</si>
  <si>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</si>
  <si>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</si>
  <si>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</si>
  <si>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</si>
  <si>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</si>
  <si>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</si>
  <si>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</si>
  <si>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</si>
  <si>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</si>
  <si>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</si>
  <si>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</si>
  <si>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</si>
  <si>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</si>
  <si>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</si>
  <si>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</si>
  <si>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</si>
  <si>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</si>
  <si>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</si>
  <si>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</si>
  <si>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</si>
  <si>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</si>
  <si>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</si>
  <si>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</si>
  <si>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</si>
  <si>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</si>
  <si>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</si>
  <si>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</si>
  <si>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</si>
  <si>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</si>
  <si>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</si>
  <si>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</si>
  <si>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</si>
  <si>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</si>
  <si>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</si>
  <si>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</si>
  <si>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</si>
  <si>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</si>
  <si>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</si>
  <si>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</si>
  <si>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</si>
  <si>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</si>
  <si>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</si>
  <si>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</si>
  <si>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</si>
  <si>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</si>
  <si>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</si>
  <si>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</si>
  <si>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</si>
  <si>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</si>
  <si>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</si>
  <si>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</si>
  <si>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</si>
  <si>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</si>
  <si>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</si>
  <si>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</si>
  <si>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</si>
  <si>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</si>
  <si>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</si>
  <si>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</si>
  <si>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</si>
  <si>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</si>
  <si>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</si>
  <si>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</si>
  <si>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</si>
  <si>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</si>
  <si>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</si>
  <si>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</si>
  <si>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</si>
  <si>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</si>
  <si>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</si>
  <si>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</si>
  <si>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</si>
  <si>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</si>
  <si>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</si>
  <si>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</si>
  <si>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</si>
  <si>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</si>
  <si>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</si>
  <si>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</si>
  <si>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</si>
  <si>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</si>
  <si>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</si>
  <si>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</si>
  <si>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</si>
  <si>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</si>
  <si>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</si>
  <si>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</si>
  <si>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</si>
  <si>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</si>
  <si>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</si>
  <si>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</si>
  <si>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</si>
  <si>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</si>
  <si>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</si>
  <si>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</si>
  <si>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</si>
  <si>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</si>
  <si>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</si>
  <si>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</si>
  <si>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</si>
  <si>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</si>
  <si>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</si>
  <si>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</si>
  <si>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</si>
  <si>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</si>
  <si>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</si>
  <si>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</si>
  <si>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</si>
  <si>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</si>
  <si>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</si>
  <si>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</si>
  <si>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</si>
  <si>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</si>
  <si>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</si>
  <si>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</si>
  <si>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</si>
  <si>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</si>
  <si>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</si>
  <si>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</si>
  <si>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</si>
  <si>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</si>
  <si>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</si>
  <si>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</si>
  <si>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</si>
  <si>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</si>
  <si>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</si>
  <si>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</si>
  <si>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</si>
  <si>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</si>
  <si>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</si>
  <si>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</si>
  <si>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</si>
  <si>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</si>
  <si>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</si>
  <si>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</si>
  <si>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</si>
  <si>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</si>
  <si>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</si>
  <si>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</si>
  <si>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</si>
  <si>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</si>
  <si>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</si>
  <si>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</si>
  <si>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</si>
  <si>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</si>
  <si>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</si>
  <si>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</si>
  <si>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</si>
  <si>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</si>
  <si>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</si>
  <si>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</si>
  <si>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</si>
  <si>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</si>
  <si>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</si>
  <si>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</si>
  <si>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</si>
  <si>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</si>
  <si>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</si>
  <si>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</si>
  <si>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</si>
  <si>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</si>
  <si>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</si>
  <si>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</si>
  <si>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</si>
  <si>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</si>
  <si>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</si>
  <si>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</si>
  <si>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</si>
  <si>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</si>
  <si>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</si>
  <si>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</si>
  <si>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</si>
  <si>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</si>
  <si>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</si>
  <si>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</si>
  <si>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</si>
  <si>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</si>
  <si>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</si>
  <si>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</si>
  <si>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</si>
  <si>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</si>
  <si>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</si>
  <si>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</si>
  <si>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</si>
  <si>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</si>
  <si>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</si>
  <si>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</si>
  <si>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</si>
  <si>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</si>
  <si>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</si>
  <si>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</si>
  <si>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</si>
  <si>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</si>
  <si>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</si>
  <si>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</si>
  <si>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</si>
  <si>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</si>
  <si>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</si>
  <si>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</si>
  <si>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</si>
  <si>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</si>
  <si>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</si>
  <si>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</si>
  <si>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</si>
  <si>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</si>
  <si>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</si>
  <si>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</si>
  <si>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</si>
  <si>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</si>
  <si>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</si>
  <si>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</si>
  <si>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</si>
  <si>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</si>
  <si>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</si>
  <si>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</si>
  <si>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</si>
  <si>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</si>
  <si>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</si>
  <si>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</si>
  <si>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</si>
  <si>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</si>
  <si>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</si>
  <si>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</si>
  <si>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</si>
  <si>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</si>
  <si>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</si>
  <si>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</si>
  <si>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</si>
  <si>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</si>
  <si>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</si>
  <si>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</si>
  <si>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</si>
  <si>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</si>
  <si>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</si>
  <si>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</si>
  <si>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</si>
  <si>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</si>
  <si>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</si>
  <si>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</si>
  <si>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</si>
  <si>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</si>
  <si>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</si>
  <si>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</si>
  <si>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</si>
  <si>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</si>
  <si>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</si>
  <si>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</si>
  <si>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</si>
  <si>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</si>
  <si>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</si>
  <si>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</si>
  <si>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</si>
  <si>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</si>
  <si>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</si>
  <si>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</si>
  <si>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</si>
  <si>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</si>
  <si>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</si>
  <si>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</si>
  <si>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</si>
  <si>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</si>
  <si>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</si>
  <si>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</si>
  <si>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</si>
  <si>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</si>
  <si>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</si>
  <si>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</si>
  <si>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</si>
  <si>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</si>
  <si>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</si>
  <si>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</si>
  <si>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</si>
  <si>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</si>
  <si>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</si>
  <si>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</si>
  <si>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</si>
  <si>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</si>
  <si>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</si>
  <si>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</si>
  <si>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</si>
  <si>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</si>
  <si>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</si>
  <si>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</si>
  <si>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</si>
  <si>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</si>
  <si>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</si>
  <si>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</si>
  <si>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</si>
  <si>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</si>
  <si>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</si>
  <si>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</si>
  <si>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</si>
  <si>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</si>
  <si>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</si>
  <si>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</si>
  <si>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</si>
  <si>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</si>
  <si>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</si>
  <si>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</si>
  <si>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</si>
  <si>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</si>
  <si>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</si>
  <si>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</si>
  <si>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</si>
  <si>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</si>
  <si>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</si>
  <si>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</si>
  <si>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</si>
  <si>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</si>
  <si>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</si>
  <si>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</si>
  <si>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</si>
  <si>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</si>
  <si>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</si>
  <si>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</si>
  <si>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</si>
  <si>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</si>
  <si>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</si>
  <si>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</si>
  <si>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</si>
  <si>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</si>
  <si>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</si>
  <si>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</si>
  <si>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</si>
  <si>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</si>
  <si>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</si>
  <si>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</si>
  <si>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</si>
  <si>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</si>
  <si>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</si>
  <si>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</si>
  <si>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</si>
  <si>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</si>
  <si>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</si>
  <si>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</si>
  <si>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</si>
  <si>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</si>
  <si>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</si>
  <si>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</si>
  <si>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</si>
  <si>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</si>
  <si>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</si>
  <si>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</si>
  <si>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</si>
  <si>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</si>
  <si>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</si>
  <si>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</si>
  <si>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</si>
  <si>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</si>
  <si>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</si>
  <si>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</si>
  <si>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</si>
  <si>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</si>
  <si>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</si>
  <si>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</si>
  <si>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</si>
  <si>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</si>
  <si>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</si>
  <si>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</si>
  <si>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</si>
  <si>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</si>
  <si>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</si>
  <si>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</si>
  <si>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</si>
  <si>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</si>
  <si>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</si>
  <si>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</si>
  <si>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</si>
  <si>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</si>
  <si>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</si>
  <si>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</si>
  <si>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</si>
  <si>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</si>
  <si>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</si>
  <si>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</si>
  <si>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</si>
  <si>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</si>
  <si>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</si>
  <si>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</si>
  <si>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</si>
  <si>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</si>
  <si>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</si>
  <si>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</si>
  <si>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</si>
  <si>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</si>
  <si>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</si>
  <si>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</si>
  <si>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</si>
  <si>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</si>
  <si>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</si>
  <si>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</si>
  <si>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</si>
  <si>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</si>
  <si>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</si>
  <si>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</si>
  <si>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</si>
  <si>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</si>
  <si>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</si>
  <si>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</si>
  <si>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</si>
  <si>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</si>
  <si>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</si>
  <si>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</si>
  <si>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</si>
  <si>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</si>
  <si>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</si>
  <si>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</si>
  <si>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</si>
  <si>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</si>
  <si>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</si>
  <si>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</si>
  <si>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</si>
  <si>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</si>
  <si>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</si>
  <si>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</si>
  <si>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</si>
  <si>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</si>
  <si>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</si>
  <si>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</si>
  <si>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</si>
  <si>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</si>
  <si>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</si>
  <si>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</si>
  <si>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</si>
  <si>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</si>
  <si>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</si>
  <si>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</si>
  <si>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</si>
  <si>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</si>
  <si>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</si>
  <si>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</si>
  <si>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</si>
  <si>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</si>
  <si>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</si>
  <si>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</si>
  <si>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</si>
  <si>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</si>
  <si>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</si>
  <si>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</si>
  <si>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</si>
  <si>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</si>
  <si>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</si>
  <si>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</si>
  <si>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</si>
  <si>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</si>
  <si>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</si>
  <si>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</si>
  <si>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</si>
  <si>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</si>
  <si>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</si>
  <si>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</si>
  <si>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</si>
  <si>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</si>
  <si>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</si>
  <si>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</si>
  <si>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</si>
  <si>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</si>
  <si>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</si>
  <si>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</si>
  <si>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</si>
  <si>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</si>
  <si>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</si>
  <si>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</si>
  <si>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</si>
  <si>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</si>
  <si>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</si>
  <si>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</si>
  <si>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</si>
  <si>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</si>
  <si>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</si>
  <si>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</si>
  <si>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</si>
  <si>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</si>
  <si>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</si>
  <si>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</si>
  <si>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</si>
  <si>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</si>
  <si>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</si>
  <si>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</si>
  <si>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</si>
  <si>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</si>
  <si>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</si>
  <si>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</si>
  <si>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</si>
  <si>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</si>
  <si>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</si>
  <si>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</si>
  <si>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</si>
  <si>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</si>
  <si>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</si>
  <si>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</si>
  <si>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</si>
  <si>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</si>
  <si>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</si>
  <si>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</si>
  <si>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</si>
  <si>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</si>
  <si>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</si>
  <si>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</si>
  <si>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</si>
  <si>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</si>
  <si>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</si>
  <si>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</si>
  <si>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</si>
  <si>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</si>
  <si>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</si>
  <si>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</si>
  <si>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</si>
  <si>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</si>
  <si>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</si>
  <si>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</si>
  <si>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</si>
  <si>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</si>
  <si>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</si>
  <si>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</si>
  <si>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</si>
  <si>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</si>
  <si>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</si>
  <si>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</si>
  <si>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</si>
  <si>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</si>
  <si>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</si>
  <si>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</si>
  <si>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</si>
  <si>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</si>
  <si>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</si>
  <si>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</si>
  <si>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</si>
  <si>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</si>
  <si>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</si>
  <si>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</si>
  <si>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</si>
  <si>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</si>
  <si>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</si>
  <si>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</si>
  <si>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</si>
  <si>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</si>
  <si>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</si>
  <si>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</si>
  <si>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</si>
  <si>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</si>
  <si>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</si>
  <si>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</si>
  <si>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</si>
  <si>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</si>
  <si>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</si>
  <si>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</si>
  <si>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</si>
  <si>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</si>
  <si>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</si>
  <si>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</si>
  <si>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</si>
  <si>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</si>
  <si>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</si>
  <si>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</si>
  <si>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</si>
  <si>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</si>
  <si>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</si>
  <si>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</si>
  <si>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</si>
  <si>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</si>
  <si>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</si>
  <si>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</si>
  <si>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</si>
  <si>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</si>
  <si>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</si>
  <si>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</si>
  <si>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</si>
  <si>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</si>
  <si>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</si>
  <si>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</si>
  <si>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</si>
  <si>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</si>
  <si>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</si>
  <si>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</si>
  <si>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</si>
  <si>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</si>
  <si>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</si>
  <si>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</si>
  <si>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</si>
  <si>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</si>
  <si>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</si>
  <si>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</si>
  <si>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</si>
  <si>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</si>
  <si>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</si>
  <si>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</si>
  <si>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</si>
  <si>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</si>
  <si>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</si>
  <si>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</si>
  <si>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</si>
  <si>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</si>
  <si>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</si>
  <si>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</si>
  <si>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</si>
  <si>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</si>
  <si>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</si>
  <si>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</si>
  <si>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</si>
  <si>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</si>
  <si>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</si>
  <si>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</si>
  <si>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</si>
  <si>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</si>
  <si>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</si>
  <si>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</si>
  <si>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</si>
  <si>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</si>
  <si>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</si>
  <si>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</si>
  <si>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</si>
  <si>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</si>
  <si>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</si>
  <si>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</si>
  <si>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</si>
  <si>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</si>
  <si>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</si>
  <si>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</si>
  <si>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</si>
  <si>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</si>
  <si>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</si>
  <si>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</si>
  <si>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</si>
  <si>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</si>
  <si>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</si>
  <si>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</si>
  <si>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</si>
  <si>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</si>
  <si>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</si>
  <si>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</si>
  <si>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</si>
  <si>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</si>
  <si>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</si>
  <si>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</si>
  <si>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</si>
  <si>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</si>
  <si>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</si>
  <si>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</si>
  <si>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</si>
  <si>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</si>
  <si>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</si>
  <si>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</si>
  <si>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</si>
  <si>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</si>
  <si>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</si>
  <si>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</si>
  <si>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</si>
  <si>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</si>
  <si>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</si>
  <si>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</si>
  <si>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</si>
  <si>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</si>
  <si>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</si>
  <si>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</si>
  <si>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</si>
  <si>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</si>
  <si>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</si>
  <si>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</si>
  <si>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</si>
  <si>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</si>
  <si>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</si>
  <si>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</si>
  <si>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</si>
  <si>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</si>
  <si>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</si>
  <si>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</si>
  <si>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</si>
  <si>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</si>
  <si>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</si>
  <si>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</si>
  <si>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</si>
  <si>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</si>
  <si>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</si>
  <si>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</si>
  <si>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</si>
  <si>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</si>
  <si>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</si>
  <si>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</si>
  <si>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</si>
  <si>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</si>
  <si>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</si>
  <si>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</si>
  <si>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</si>
  <si>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</si>
  <si>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</si>
  <si>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</si>
  <si>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</si>
  <si>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</si>
  <si>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</si>
  <si>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</si>
  <si>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</si>
  <si>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</si>
  <si>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</si>
  <si>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</si>
  <si>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</si>
  <si>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</si>
  <si>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</si>
  <si>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</si>
  <si>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</si>
  <si>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</si>
  <si>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</si>
  <si>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</si>
  <si>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</si>
  <si>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</si>
  <si>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</si>
  <si>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</si>
  <si>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</si>
  <si>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</si>
  <si>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</si>
  <si>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</si>
  <si>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</si>
  <si>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</si>
  <si>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</si>
  <si>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</si>
  <si>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</si>
  <si>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</si>
  <si>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</si>
  <si>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</si>
  <si>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</si>
  <si>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</si>
  <si>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</si>
  <si>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</si>
  <si>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</si>
  <si>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</si>
  <si>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</si>
  <si>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</si>
  <si>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</si>
  <si>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</si>
  <si>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</si>
  <si>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</si>
  <si>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</si>
  <si>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</si>
  <si>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</si>
  <si>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</si>
  <si>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</si>
  <si>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</si>
  <si>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</si>
  <si>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</si>
  <si>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</si>
  <si>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</si>
  <si>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</si>
  <si>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</si>
  <si>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</si>
  <si>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</si>
  <si>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</si>
  <si>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</si>
  <si>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</si>
  <si>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</si>
  <si>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</si>
  <si>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</si>
  <si>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</si>
  <si>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</si>
  <si>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</si>
  <si>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</si>
  <si>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</si>
  <si>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</si>
  <si>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</si>
  <si>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</si>
  <si>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</si>
  <si>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</si>
  <si>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</si>
  <si>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</si>
  <si>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</si>
  <si>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</si>
  <si>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</si>
  <si>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</si>
  <si>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</si>
  <si>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</si>
  <si>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</si>
  <si>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</si>
  <si>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</si>
  <si>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</si>
  <si>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</si>
  <si>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</si>
  <si>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</si>
  <si>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</si>
  <si>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</si>
  <si>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</si>
  <si>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</si>
  <si>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</si>
  <si>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</si>
  <si>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</si>
  <si>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</si>
  <si>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</si>
  <si>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</si>
  <si>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</si>
  <si>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</si>
  <si>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</si>
  <si>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</si>
  <si>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</si>
  <si>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</si>
  <si>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</si>
  <si>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</si>
  <si>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</si>
  <si>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</si>
  <si>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</si>
  <si>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</si>
  <si>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</si>
  <si>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</si>
  <si>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</si>
  <si>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</si>
  <si>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</si>
  <si>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</si>
  <si>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</si>
  <si>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</si>
  <si>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</si>
  <si>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</si>
  <si>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</si>
  <si>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</si>
  <si>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</si>
  <si>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</si>
  <si>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</si>
  <si>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</si>
  <si>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</si>
  <si>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</si>
  <si>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</si>
  <si>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</si>
  <si>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</si>
  <si>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</si>
  <si>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</si>
  <si>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</si>
  <si>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</si>
  <si>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</si>
  <si>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</si>
  <si>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</si>
  <si>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</si>
  <si>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</si>
  <si>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</si>
  <si>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</si>
  <si>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</si>
  <si>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</si>
  <si>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</si>
  <si>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</si>
  <si>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</si>
  <si>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</si>
  <si>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</si>
  <si>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</si>
  <si>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</si>
  <si>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</si>
  <si>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</si>
  <si>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</si>
  <si>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</si>
  <si>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</si>
  <si>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</si>
  <si>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</si>
  <si>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</si>
  <si>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</si>
  <si>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</si>
  <si>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</si>
  <si>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</si>
  <si>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</si>
  <si>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</si>
  <si>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</si>
  <si>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</si>
  <si>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</si>
  <si>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</si>
  <si>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</si>
  <si>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</si>
  <si>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</si>
  <si>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</si>
  <si>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</si>
  <si>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</si>
  <si>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</si>
  <si>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</si>
  <si>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</si>
  <si>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</si>
  <si>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</si>
  <si>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</si>
  <si>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</si>
  <si>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</si>
  <si>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</si>
  <si>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</si>
  <si>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</si>
  <si>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</si>
  <si>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</si>
  <si>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</si>
  <si>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</si>
  <si>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</si>
  <si>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</si>
  <si>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</si>
  <si>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</si>
  <si>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</si>
  <si>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</si>
  <si>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</si>
  <si>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</si>
  <si>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</si>
  <si>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</si>
  <si>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</si>
  <si>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</si>
  <si>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</si>
  <si>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</si>
  <si>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</si>
  <si>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</si>
  <si>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</si>
  <si>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</si>
  <si>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</si>
  <si>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</si>
  <si>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</si>
  <si>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</si>
  <si>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</si>
  <si>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</si>
  <si>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</si>
  <si>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</si>
  <si>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</si>
  <si>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</si>
  <si>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</si>
  <si>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</si>
  <si>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</si>
  <si>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</si>
  <si>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</si>
  <si>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</si>
  <si>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</si>
  <si>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</si>
  <si>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</si>
  <si>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</si>
  <si>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</si>
  <si>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</si>
  <si>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</si>
  <si>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</si>
  <si>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</si>
  <si>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</si>
  <si>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</si>
  <si>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</si>
  <si>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</si>
  <si>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</si>
  <si>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</si>
  <si>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</si>
  <si>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</si>
  <si>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</si>
  <si>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</si>
  <si>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</si>
  <si>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</si>
  <si>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</si>
  <si>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</si>
  <si>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</si>
  <si>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</si>
  <si>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</si>
  <si>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</si>
  <si>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</si>
  <si>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</si>
  <si>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</si>
  <si>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</si>
  <si>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</si>
  <si>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</si>
  <si>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</si>
  <si>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</si>
  <si>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</si>
  <si>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</si>
  <si>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</si>
  <si>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</si>
  <si>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</si>
  <si>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</si>
  <si>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</si>
  <si>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</si>
  <si>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</si>
  <si>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</si>
  <si>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</si>
  <si>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</si>
  <si>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</si>
  <si>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</si>
  <si>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</si>
  <si>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</si>
  <si>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</si>
  <si>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</si>
  <si>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</si>
  <si>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</si>
  <si>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</si>
  <si>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</si>
  <si>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</si>
  <si>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</si>
  <si>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</si>
  <si>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</si>
  <si>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</si>
  <si>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</si>
  <si>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</si>
  <si>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</si>
  <si>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</si>
  <si>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</si>
  <si>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</si>
  <si>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</si>
  <si>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</si>
  <si>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</si>
  <si>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</si>
  <si>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</si>
  <si>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</si>
  <si>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</si>
  <si>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</si>
  <si>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</si>
  <si>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</si>
  <si>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</si>
  <si>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</si>
  <si>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</si>
  <si>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</si>
  <si>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</si>
  <si>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</si>
  <si>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</si>
  <si>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</si>
  <si>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</si>
  <si>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</si>
  <si>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</si>
  <si>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</si>
  <si>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</si>
  <si>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</si>
  <si>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</si>
  <si>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</si>
  <si>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</si>
  <si>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</si>
  <si>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</si>
  <si>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</si>
  <si>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</si>
  <si>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</si>
  <si>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</si>
  <si>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</si>
  <si>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</si>
  <si>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</si>
  <si>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</si>
  <si>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</si>
  <si>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</si>
  <si>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</si>
  <si>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</si>
  <si>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</si>
  <si>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</si>
  <si>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</si>
  <si>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</si>
  <si>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</si>
  <si>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</si>
  <si>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</si>
  <si>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</si>
  <si>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</si>
  <si>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</si>
  <si>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</si>
  <si>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</si>
  <si>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</si>
  <si>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</si>
  <si>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</si>
  <si>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</si>
  <si>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</si>
  <si>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</si>
  <si>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</si>
  <si>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</si>
  <si>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</si>
  <si>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</si>
  <si>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</si>
  <si>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</si>
  <si>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</si>
  <si>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</si>
  <si>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</si>
  <si>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</si>
  <si>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</si>
  <si>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</si>
  <si>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</si>
  <si>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</si>
  <si>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</si>
  <si>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</si>
  <si>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</si>
  <si>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</si>
  <si>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</si>
  <si>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</si>
  <si>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</si>
  <si>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</si>
  <si>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</si>
  <si>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</si>
  <si>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</si>
  <si>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</si>
  <si>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</si>
  <si>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</si>
  <si>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</si>
  <si>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</si>
  <si>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</si>
  <si>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</si>
  <si>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</si>
  <si>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</si>
  <si>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</si>
  <si>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</si>
  <si>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</si>
  <si>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</si>
  <si>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</si>
  <si>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</si>
  <si>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</si>
  <si>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</si>
  <si>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</si>
  <si>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</si>
  <si>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</si>
  <si>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</si>
  <si>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</si>
  <si>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</si>
  <si>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</si>
  <si>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</si>
  <si>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</si>
  <si>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</si>
  <si>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</si>
  <si>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</si>
  <si>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</si>
  <si>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</si>
  <si>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</si>
  <si>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</si>
  <si>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</si>
  <si>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</si>
  <si>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</si>
  <si>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</si>
  <si>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</si>
  <si>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</si>
  <si>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</si>
  <si>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</si>
  <si>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</si>
  <si>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</si>
  <si>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</si>
  <si>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</si>
  <si>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</si>
  <si>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</si>
  <si>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</si>
  <si>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</si>
  <si>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</si>
  <si>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</si>
  <si>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</si>
  <si>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</si>
  <si>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</si>
  <si>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</si>
  <si>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</si>
  <si>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</si>
  <si>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</si>
  <si>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</si>
  <si>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</si>
  <si>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</si>
  <si>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</si>
  <si>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</si>
  <si>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</si>
  <si>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</si>
  <si>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</si>
  <si>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</si>
  <si>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</si>
  <si>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</si>
  <si>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</si>
  <si>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</si>
  <si>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</si>
  <si>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</si>
  <si>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</si>
  <si>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</si>
  <si>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</si>
  <si>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</si>
  <si>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</si>
  <si>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</si>
  <si>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</si>
  <si>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</si>
  <si>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</si>
  <si>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</si>
  <si>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</si>
  <si>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</si>
  <si>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</si>
  <si>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</si>
  <si>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</si>
  <si>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</si>
  <si>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</si>
  <si>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</si>
  <si>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</si>
  <si>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</si>
  <si>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</si>
  <si>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</si>
  <si>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</si>
  <si>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</si>
  <si>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</si>
  <si>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</si>
  <si>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</si>
  <si>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</si>
  <si>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</si>
  <si>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</si>
  <si>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</si>
  <si>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</si>
  <si>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</si>
  <si>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</si>
  <si>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</si>
  <si>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</si>
  <si>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</si>
  <si>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</si>
  <si>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</si>
  <si>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</si>
  <si>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</si>
  <si>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</si>
  <si>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</si>
  <si>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</si>
  <si>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</si>
  <si>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</si>
  <si>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</si>
  <si>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</si>
  <si>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</si>
  <si>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</si>
  <si>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</si>
  <si>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</si>
  <si>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</si>
  <si>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</si>
  <si>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</si>
  <si>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</si>
  <si>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</si>
  <si>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</si>
  <si>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</si>
  <si>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</si>
  <si>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</si>
  <si>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</si>
  <si>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</si>
  <si>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</si>
  <si>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</si>
  <si>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</si>
  <si>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</si>
  <si>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</si>
  <si>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</si>
  <si>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</si>
  <si>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</si>
  <si>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</si>
  <si>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</si>
  <si>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</si>
  <si>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</si>
  <si>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</si>
  <si>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</si>
  <si>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</si>
  <si>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</si>
  <si>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</si>
  <si>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</si>
  <si>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</si>
  <si>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</si>
  <si>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</si>
  <si>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</si>
  <si>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</si>
  <si>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</si>
  <si>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</si>
  <si>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</si>
  <si>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</si>
  <si>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</si>
  <si>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</si>
  <si>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</si>
  <si>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</si>
  <si>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</si>
  <si>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</si>
  <si>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</si>
  <si>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</si>
  <si>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</si>
  <si>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</si>
  <si>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</si>
  <si>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</si>
  <si>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</si>
  <si>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</si>
  <si>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</si>
  <si>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</si>
  <si>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</si>
  <si>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</si>
  <si>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</si>
  <si>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</si>
  <si>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</si>
  <si>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</si>
  <si>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</si>
  <si>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</si>
  <si>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</si>
  <si>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</si>
  <si>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</si>
  <si>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</si>
  <si>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</si>
  <si>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</si>
  <si>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</si>
  <si>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</si>
  <si>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</si>
  <si>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</si>
  <si>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</si>
  <si>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</si>
  <si>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</si>
  <si>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</si>
  <si>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</si>
  <si>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</si>
  <si>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</si>
  <si>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</si>
  <si>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</si>
  <si>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</si>
  <si>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</si>
  <si>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</si>
  <si>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</si>
  <si>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</si>
  <si>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</si>
  <si>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</si>
  <si>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</si>
  <si>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</si>
  <si>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</si>
  <si>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</si>
  <si>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</si>
  <si>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</si>
  <si>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</si>
  <si>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</si>
  <si>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</si>
  <si>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</si>
  <si>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</si>
  <si>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</si>
  <si>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</si>
  <si>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</si>
  <si>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</si>
  <si>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</si>
  <si>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</si>
  <si>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</si>
  <si>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</si>
  <si>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</si>
  <si>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</si>
  <si>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</si>
  <si>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</si>
  <si>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</si>
  <si>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</si>
  <si>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</si>
  <si>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</si>
  <si>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</si>
  <si>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</si>
  <si>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</si>
  <si>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</si>
  <si>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</si>
  <si>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</si>
  <si>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</si>
  <si>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</si>
  <si>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</si>
  <si>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</si>
  <si>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</si>
  <si>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</si>
  <si>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</si>
  <si>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</si>
  <si>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</si>
  <si>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</si>
  <si>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</si>
  <si>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</si>
  <si>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</si>
  <si>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</si>
  <si>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</si>
  <si>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</si>
  <si>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</si>
  <si>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</si>
  <si>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</si>
  <si>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</si>
  <si>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</si>
  <si>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</si>
  <si>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</si>
  <si>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</si>
  <si>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</si>
  <si>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</si>
  <si>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</si>
  <si>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</si>
  <si>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</si>
  <si>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</si>
  <si>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</si>
  <si>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</si>
  <si>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</si>
  <si>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</si>
  <si>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</si>
  <si>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</si>
  <si>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</si>
  <si>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</si>
  <si>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</si>
  <si>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</si>
  <si>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</si>
  <si>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</si>
  <si>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</si>
  <si>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</si>
  <si>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</si>
  <si>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</si>
  <si>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</si>
  <si>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</si>
  <si>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</si>
  <si>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</si>
  <si>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</si>
  <si>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</si>
  <si>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</si>
  <si>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</si>
  <si>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</si>
  <si>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</si>
  <si>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</si>
  <si>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</si>
  <si>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</si>
  <si>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</si>
  <si>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</si>
  <si>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</si>
  <si>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</si>
  <si>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</si>
  <si>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</si>
  <si>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</si>
  <si>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</si>
  <si>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</si>
  <si>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</si>
  <si>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</si>
  <si>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</si>
  <si>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</si>
  <si>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</si>
  <si>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</si>
  <si>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</si>
  <si>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</si>
  <si>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</si>
  <si>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</si>
  <si>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</si>
  <si>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</si>
  <si>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</si>
  <si>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</si>
  <si>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</si>
  <si>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</si>
  <si>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</si>
  <si>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</si>
  <si>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</si>
  <si>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</si>
  <si>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</si>
  <si>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</si>
  <si>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</si>
  <si>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</si>
  <si>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</si>
  <si>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</si>
  <si>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</si>
  <si>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</si>
  <si>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</si>
  <si>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</si>
  <si>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</si>
  <si>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</si>
  <si>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</si>
  <si>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</si>
  <si>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</si>
  <si>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</si>
  <si>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</si>
  <si>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</si>
  <si>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</si>
  <si>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</si>
  <si>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</si>
  <si>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</si>
  <si>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</si>
  <si>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</si>
  <si>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</si>
  <si>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</si>
  <si>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</si>
  <si>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</si>
  <si>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</si>
  <si>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</si>
  <si>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</si>
  <si>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</si>
  <si>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</si>
  <si>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</si>
  <si>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</si>
  <si>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</si>
  <si>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</si>
  <si>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</si>
  <si>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</si>
  <si>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</si>
  <si>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</si>
  <si>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</si>
  <si>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</si>
  <si>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</si>
  <si>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</si>
  <si>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</si>
  <si>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</si>
  <si>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</si>
  <si>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</si>
  <si>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</si>
  <si>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</si>
  <si>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</si>
  <si>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</si>
  <si>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</si>
  <si>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</si>
  <si>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</si>
  <si>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</si>
  <si>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</si>
  <si>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</si>
  <si>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</si>
  <si>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</si>
  <si>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</si>
  <si>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</si>
  <si>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</si>
  <si>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</si>
  <si>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</si>
  <si>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</si>
  <si>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</si>
  <si>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</si>
  <si>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</si>
  <si>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</si>
  <si>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</si>
  <si>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</si>
  <si>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</si>
  <si>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</si>
  <si>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</si>
  <si>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</si>
  <si>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</si>
  <si>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</si>
  <si>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</si>
  <si>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</si>
  <si>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</si>
  <si>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</si>
  <si>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</si>
  <si>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</si>
  <si>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</si>
  <si>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</si>
  <si>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</si>
  <si>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</si>
  <si>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</si>
  <si>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</si>
  <si>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</si>
  <si>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</si>
  <si>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</si>
  <si>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</si>
  <si>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</si>
  <si>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</si>
  <si>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</si>
  <si>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</si>
  <si>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</si>
  <si>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</si>
  <si>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</si>
  <si>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</si>
  <si>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</si>
  <si>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</si>
  <si>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</si>
  <si>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</si>
  <si>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</si>
  <si>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</si>
  <si>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</si>
  <si>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</si>
  <si>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</si>
  <si>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</si>
  <si>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</si>
  <si>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</si>
  <si>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</si>
  <si>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</si>
  <si>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</si>
  <si>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</si>
  <si>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</si>
  <si>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</si>
  <si>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</si>
  <si>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</si>
  <si>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</si>
  <si>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</si>
  <si>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</si>
  <si>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</si>
  <si>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</si>
  <si>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</si>
  <si>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</si>
  <si>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</si>
  <si>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</si>
  <si>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</si>
  <si>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</si>
  <si>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</si>
  <si>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</si>
  <si>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</si>
  <si>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</si>
  <si>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</si>
  <si>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</si>
  <si>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</si>
  <si>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</si>
  <si>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</si>
  <si>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</si>
  <si>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</si>
  <si>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</si>
  <si>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</si>
  <si>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</si>
  <si>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</si>
  <si>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</si>
  <si>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</si>
  <si>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</si>
  <si>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</si>
  <si>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</si>
  <si>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</si>
  <si>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</si>
  <si>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</si>
  <si>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</si>
  <si>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</si>
  <si>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</si>
  <si>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</si>
  <si>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</si>
  <si>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</si>
  <si>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</si>
  <si>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</si>
  <si>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</si>
  <si>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</si>
  <si>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</si>
  <si>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</si>
  <si>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</si>
  <si>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</si>
  <si>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</si>
  <si>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</si>
  <si>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</si>
  <si>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</si>
  <si>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</si>
  <si>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</si>
  <si>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</si>
  <si>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</si>
  <si>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</si>
  <si>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</si>
  <si>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</si>
  <si>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</si>
  <si>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</si>
  <si>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</si>
  <si>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</si>
  <si>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</si>
  <si>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</si>
  <si>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</si>
  <si>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</si>
  <si>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</si>
  <si>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</si>
  <si>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</si>
  <si>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</si>
  <si>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</si>
  <si>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</si>
  <si>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</si>
  <si>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</si>
  <si>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</si>
  <si>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</si>
  <si>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</si>
  <si>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</si>
  <si>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</si>
  <si>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</si>
  <si>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</si>
  <si>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</si>
  <si>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</si>
  <si>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</si>
  <si>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</si>
  <si>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</si>
  <si>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</si>
  <si>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</si>
  <si>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</si>
  <si>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</si>
  <si>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</si>
  <si>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</si>
  <si>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</si>
  <si>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</si>
  <si>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</si>
  <si>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</si>
  <si>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</si>
  <si>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</si>
  <si>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</si>
  <si>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</si>
  <si>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</si>
  <si>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</si>
  <si>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</si>
  <si>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</si>
  <si>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</si>
  <si>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</si>
  <si>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</si>
  <si>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</si>
  <si>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</si>
  <si>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</si>
  <si>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</si>
  <si>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</si>
  <si>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</si>
  <si>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</si>
  <si>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</si>
  <si>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</si>
  <si>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</si>
  <si>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</si>
  <si>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</si>
  <si>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</si>
  <si>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</si>
  <si>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</si>
  <si>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</si>
  <si>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</si>
  <si>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</si>
  <si>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</si>
  <si>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</si>
  <si>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</si>
  <si>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</si>
  <si>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</si>
  <si>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</si>
  <si>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</si>
  <si>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</si>
  <si>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</si>
  <si>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</si>
  <si>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</si>
  <si>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</si>
  <si>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</si>
  <si>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</si>
  <si>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</si>
  <si>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</si>
  <si>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</si>
  <si>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</si>
  <si>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</si>
  <si>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</si>
  <si>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</si>
  <si>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</si>
  <si>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</si>
  <si>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</si>
  <si>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</si>
  <si>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</si>
  <si>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</si>
  <si>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</si>
  <si>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</si>
  <si>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</si>
  <si>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</si>
  <si>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</si>
  <si>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</si>
  <si>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</si>
  <si>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</si>
  <si>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</si>
  <si>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</si>
  <si>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</si>
  <si>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</si>
  <si>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</si>
  <si>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</si>
  <si>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</si>
  <si>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</si>
  <si>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</si>
  <si>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</si>
  <si>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</si>
  <si>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</si>
  <si>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</si>
  <si>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</si>
  <si>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</si>
  <si>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</si>
  <si>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</si>
  <si>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</si>
  <si>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</si>
  <si>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</si>
  <si>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</si>
  <si>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</si>
  <si>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</si>
  <si>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</si>
  <si>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</si>
  <si>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</si>
  <si>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</si>
  <si>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</si>
  <si>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</si>
  <si>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</si>
  <si>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</si>
  <si>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</si>
  <si>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</si>
  <si>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</si>
  <si>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</si>
  <si>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</si>
  <si>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</si>
  <si>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</si>
  <si>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</si>
  <si>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</si>
  <si>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</si>
  <si>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</si>
  <si>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</si>
  <si>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</si>
  <si>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</si>
  <si>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</si>
  <si>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</si>
  <si>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</si>
  <si>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</si>
  <si>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</si>
  <si>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</si>
  <si>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</si>
  <si>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</si>
  <si>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</si>
  <si>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</si>
  <si>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</si>
  <si>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</si>
  <si>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</si>
  <si>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</si>
  <si>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</si>
  <si>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</si>
  <si>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</si>
  <si>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</si>
  <si>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</si>
  <si>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</si>
  <si>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</si>
  <si>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</si>
  <si>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</si>
  <si>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</si>
  <si>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</si>
  <si>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</si>
  <si>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</si>
  <si>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</si>
  <si>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</si>
  <si>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</si>
  <si>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</si>
  <si>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</si>
  <si>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</si>
  <si>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</si>
  <si>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</si>
  <si>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</si>
  <si>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</si>
  <si>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</si>
  <si>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</si>
  <si>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</si>
  <si>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</si>
  <si>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</si>
  <si>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</si>
  <si>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</si>
  <si>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</si>
  <si>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</si>
  <si>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</si>
  <si>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</si>
  <si>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</si>
  <si>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</si>
  <si>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</si>
  <si>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</si>
  <si>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</si>
  <si>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</si>
  <si>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</si>
  <si>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</si>
  <si>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</si>
  <si>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</si>
  <si>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</si>
  <si>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</si>
  <si>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</si>
  <si>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</si>
  <si>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</si>
  <si>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</si>
  <si>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</si>
  <si>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</si>
  <si>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</si>
  <si>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</si>
  <si>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</si>
  <si>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</si>
  <si>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</si>
  <si>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</si>
  <si>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</si>
  <si>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</si>
  <si>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</si>
  <si>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</si>
  <si>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</si>
  <si>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</si>
  <si>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</si>
  <si>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</si>
  <si>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</si>
  <si>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</si>
  <si>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</si>
  <si>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</si>
  <si>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</si>
  <si>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</si>
  <si>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</si>
  <si>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</si>
  <si>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</si>
  <si>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</si>
  <si>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</si>
  <si>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</si>
  <si>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</si>
  <si>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</si>
  <si>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</si>
  <si>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</si>
  <si>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</si>
  <si>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</si>
  <si>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</si>
  <si>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</si>
  <si>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</si>
  <si>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</si>
  <si>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</si>
  <si>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</si>
  <si>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</si>
  <si>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</si>
  <si>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</si>
  <si>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</si>
  <si>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</si>
  <si>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</si>
  <si>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</si>
  <si>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</si>
  <si>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</si>
  <si>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</si>
  <si>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</si>
  <si>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</si>
  <si>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</si>
  <si>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</si>
  <si>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</si>
  <si>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</si>
  <si>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</si>
  <si>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</si>
  <si>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</si>
  <si>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</si>
  <si>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</si>
  <si>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</si>
  <si>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</si>
  <si>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</si>
  <si>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</si>
  <si>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</si>
  <si>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</si>
  <si>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</si>
  <si>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</si>
  <si>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</si>
  <si>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</si>
  <si>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</si>
  <si>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</si>
  <si>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</si>
  <si>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</si>
  <si>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</si>
  <si>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</si>
  <si>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</si>
  <si>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</si>
  <si>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</si>
  <si>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</si>
  <si>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</si>
  <si>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</si>
  <si>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</si>
  <si>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</si>
  <si>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</si>
  <si>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</si>
  <si>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</si>
  <si>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</si>
  <si>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</si>
  <si>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</si>
  <si>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</si>
  <si>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</si>
  <si>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</si>
  <si>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</si>
  <si>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</si>
  <si>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</si>
  <si>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</si>
  <si>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</si>
  <si>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</si>
  <si>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</si>
  <si>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</si>
  <si>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</si>
  <si>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</si>
  <si>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</si>
  <si>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</si>
  <si>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</si>
  <si>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</si>
  <si>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</si>
  <si>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</si>
  <si>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</si>
  <si>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</si>
  <si>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</si>
  <si>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</si>
  <si>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</si>
  <si>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</si>
  <si>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</si>
  <si>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</si>
  <si>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</si>
  <si>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</si>
  <si>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</si>
  <si>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</si>
  <si>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</si>
  <si>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</si>
  <si>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</si>
  <si>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</si>
  <si>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</si>
  <si>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</si>
  <si>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</si>
  <si>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</si>
  <si>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</si>
  <si>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</si>
  <si>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</si>
  <si>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</si>
  <si>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</si>
  <si>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</si>
  <si>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</si>
  <si>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</si>
  <si>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</si>
  <si>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</si>
  <si>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</si>
  <si>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</si>
  <si>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</si>
  <si>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</si>
  <si>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</si>
  <si>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</si>
  <si>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</si>
  <si>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</si>
  <si>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</si>
  <si>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</si>
  <si>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</si>
  <si>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</si>
  <si>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</si>
  <si>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</si>
  <si>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</si>
  <si>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</si>
  <si>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</si>
  <si>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</si>
  <si>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</si>
  <si>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</si>
  <si>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</si>
  <si>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</si>
  <si>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</si>
  <si>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</si>
  <si>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</si>
  <si>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</si>
  <si>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</si>
  <si>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</si>
  <si>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</si>
  <si>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</si>
  <si>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</si>
  <si>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</si>
  <si>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</si>
  <si>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</si>
  <si>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</si>
  <si>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</si>
  <si>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</si>
  <si>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</si>
  <si>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</si>
  <si>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</si>
  <si>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</si>
  <si>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</si>
  <si>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</si>
  <si>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</si>
  <si>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</si>
  <si>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</si>
  <si>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</si>
  <si>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</si>
  <si>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</si>
  <si>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</si>
  <si>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</si>
  <si>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</si>
  <si>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</si>
  <si>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</si>
  <si>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</si>
  <si>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</si>
  <si>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</si>
  <si>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</si>
  <si>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</si>
  <si>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</si>
  <si>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</si>
  <si>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</si>
  <si>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</si>
  <si>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</si>
  <si>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</si>
  <si>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</si>
  <si>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</si>
  <si>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</si>
  <si>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</si>
  <si>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</si>
  <si>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</si>
  <si>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</si>
  <si>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</si>
  <si>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</si>
  <si>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</si>
  <si>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</si>
  <si>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</si>
  <si>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</si>
  <si>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</si>
  <si>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</si>
  <si>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</si>
  <si>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</si>
  <si>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</si>
  <si>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</si>
  <si>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</si>
  <si>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</si>
  <si>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</si>
  <si>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</si>
  <si>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</si>
  <si>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</si>
  <si>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</si>
  <si>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</si>
  <si>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</si>
  <si>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</si>
  <si>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</si>
  <si>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</si>
  <si>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</si>
  <si>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</si>
  <si>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</si>
  <si>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</si>
  <si>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</si>
  <si>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</si>
  <si>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</si>
  <si>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</si>
  <si>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</si>
  <si>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</si>
  <si>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</si>
  <si>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</si>
  <si>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</si>
  <si>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</si>
  <si>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</si>
  <si>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</si>
  <si>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</si>
  <si>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</si>
  <si>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</si>
  <si>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</si>
  <si>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</si>
  <si>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</si>
  <si>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</si>
  <si>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</si>
  <si>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</si>
  <si>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</si>
  <si>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</si>
  <si>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</si>
  <si>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</si>
  <si>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</si>
  <si>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</si>
  <si>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</si>
  <si>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</si>
  <si>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</si>
  <si>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</si>
  <si>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</si>
  <si>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</si>
  <si>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</si>
  <si>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</si>
  <si>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</si>
  <si>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</si>
  <si>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</si>
  <si>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</si>
  <si>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</si>
  <si>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</si>
  <si>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</si>
  <si>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</si>
  <si>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</si>
  <si>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</si>
  <si>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</si>
  <si>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</si>
  <si>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</si>
  <si>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</si>
  <si>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</si>
  <si>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</si>
  <si>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</si>
  <si>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</si>
  <si>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</si>
  <si>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</si>
  <si>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</si>
  <si>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</si>
  <si>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</si>
  <si>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</si>
  <si>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</si>
  <si>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</si>
  <si>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</si>
  <si>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</si>
  <si>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</si>
  <si>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</si>
  <si>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</si>
  <si>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</si>
  <si>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</si>
  <si>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</si>
  <si>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</si>
  <si>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</si>
  <si>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</si>
  <si>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</si>
  <si>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</si>
  <si>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</si>
  <si>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</si>
  <si>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</si>
  <si>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</si>
  <si>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</si>
  <si>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</si>
  <si>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</si>
  <si>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</si>
  <si>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</si>
  <si>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</si>
  <si>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</si>
  <si>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</si>
  <si>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</si>
  <si>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</si>
  <si>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</si>
  <si>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</si>
  <si>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</si>
  <si>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</si>
  <si>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</si>
  <si>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</si>
  <si>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</si>
  <si>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</si>
  <si>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</si>
  <si>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</si>
  <si>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</si>
  <si>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</si>
  <si>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</si>
  <si>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</si>
  <si>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</si>
  <si>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</si>
  <si>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</si>
  <si>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</si>
  <si>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</si>
  <si>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</si>
  <si>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</si>
  <si>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</si>
  <si>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</si>
  <si>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</si>
  <si>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</si>
  <si>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</si>
  <si>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</si>
  <si>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</si>
  <si>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</si>
  <si>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</si>
  <si>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</si>
  <si>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</si>
  <si>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</si>
  <si>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</si>
  <si>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</si>
  <si>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</si>
  <si>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</si>
  <si>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</si>
  <si>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</si>
  <si>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</si>
  <si>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</si>
  <si>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</si>
  <si>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</si>
  <si>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</si>
  <si>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</si>
  <si>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</si>
  <si>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</si>
  <si>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</si>
  <si>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</si>
  <si>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</si>
  <si>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</si>
  <si>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</si>
  <si>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</si>
  <si>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</si>
  <si>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</si>
  <si>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</si>
  <si>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</si>
  <si>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</si>
  <si>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</si>
  <si>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</si>
  <si>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</si>
  <si>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</si>
  <si>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</si>
  <si>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</si>
  <si>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</si>
  <si>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</si>
  <si>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</si>
  <si>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</si>
  <si>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</si>
  <si>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</si>
  <si>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</si>
  <si>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</si>
  <si>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</si>
  <si>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</si>
  <si>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</si>
  <si>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</si>
  <si>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</si>
  <si>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</si>
  <si>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</si>
  <si>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</si>
  <si>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</si>
  <si>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</si>
  <si>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</si>
  <si>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</si>
  <si>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</si>
  <si>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</si>
  <si>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</si>
  <si>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</si>
  <si>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</si>
  <si>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</si>
  <si>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</si>
  <si>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</si>
  <si>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</si>
  <si>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</si>
  <si>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</si>
  <si>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</si>
  <si>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</si>
  <si>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</si>
  <si>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</si>
  <si>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</si>
  <si>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</si>
  <si>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</si>
  <si>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</si>
  <si>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</si>
  <si>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</si>
  <si>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</si>
  <si>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</si>
  <si>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</si>
  <si>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</si>
  <si>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</si>
  <si>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</si>
  <si>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</si>
  <si>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</si>
  <si>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</si>
  <si>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</si>
  <si>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</si>
  <si>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</si>
  <si>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</si>
  <si>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</si>
  <si>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</si>
  <si>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</si>
  <si>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</si>
  <si>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</si>
  <si>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</si>
  <si>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</si>
  <si>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</si>
  <si>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</si>
  <si>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</si>
  <si>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</si>
  <si>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</si>
  <si>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</si>
  <si>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</si>
  <si>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</si>
  <si>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</si>
  <si>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</si>
  <si>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</si>
  <si>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</si>
  <si>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</si>
  <si>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</si>
  <si>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</si>
  <si>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</si>
  <si>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</si>
  <si>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</si>
  <si>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</si>
  <si>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</si>
  <si>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</si>
  <si>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</si>
  <si>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</si>
  <si>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</si>
  <si>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</si>
  <si>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</si>
  <si>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</si>
  <si>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</si>
  <si>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</si>
  <si>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</si>
  <si>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</si>
  <si>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</si>
  <si>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</si>
  <si>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</si>
  <si>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</si>
  <si>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</si>
  <si>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</si>
  <si>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</si>
  <si>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</si>
  <si>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</si>
  <si>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</si>
  <si>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</si>
  <si>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</si>
  <si>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</si>
  <si>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</si>
  <si>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</si>
  <si>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</si>
  <si>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</si>
  <si>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</si>
  <si>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</si>
  <si>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</si>
  <si>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</si>
  <si>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</si>
  <si>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</si>
  <si>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</si>
  <si>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</si>
  <si>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</si>
  <si>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</si>
  <si>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</si>
  <si>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</si>
  <si>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</si>
  <si>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</si>
  <si>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</si>
  <si>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</si>
  <si>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</si>
  <si>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</si>
  <si>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</si>
  <si>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</si>
  <si>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</si>
  <si>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</si>
  <si>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</si>
  <si>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</si>
  <si>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</si>
  <si>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</si>
  <si>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</si>
  <si>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</si>
  <si>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</si>
  <si>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</si>
  <si>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</si>
  <si>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</si>
  <si>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</si>
  <si>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</si>
  <si>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</si>
  <si>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</si>
  <si>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</si>
  <si>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</si>
  <si>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</si>
  <si>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</si>
  <si>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</si>
  <si>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</si>
  <si>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</si>
  <si>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</si>
  <si>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</si>
  <si>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</si>
  <si>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</si>
  <si>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</si>
  <si>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</si>
  <si>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</si>
  <si>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</si>
  <si>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</si>
  <si>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</si>
  <si>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</si>
  <si>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</si>
  <si>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</si>
  <si>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</si>
  <si>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</si>
  <si>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</si>
  <si>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</si>
  <si>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</si>
  <si>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</si>
  <si>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</si>
  <si>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</si>
  <si>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</si>
  <si>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</si>
  <si>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</si>
  <si>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</si>
  <si>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</si>
  <si>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</si>
  <si>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</si>
  <si>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</si>
  <si>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</si>
  <si>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</si>
  <si>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</si>
  <si>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</si>
  <si>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</si>
  <si>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</si>
  <si>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</si>
  <si>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</si>
  <si>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</si>
  <si>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</si>
  <si>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</si>
  <si>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</si>
  <si>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</si>
  <si>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</si>
  <si>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</si>
  <si>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</si>
  <si>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</si>
  <si>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</si>
  <si>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</si>
  <si>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</si>
  <si>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</si>
  <si>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</si>
  <si>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</si>
  <si>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</si>
  <si>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</si>
  <si>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</si>
  <si>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</si>
  <si>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</si>
  <si>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</si>
  <si>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</si>
  <si>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</si>
  <si>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</si>
  <si>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</si>
  <si>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</si>
  <si>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</si>
  <si>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</si>
  <si>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</si>
  <si>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</si>
  <si>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</si>
  <si>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</si>
  <si>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</si>
  <si>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</si>
  <si>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</si>
  <si>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</si>
  <si>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</si>
  <si>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</si>
  <si>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</si>
  <si>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</si>
  <si>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</si>
  <si>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</si>
  <si>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</si>
  <si>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</si>
  <si>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</si>
  <si>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</si>
  <si>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</si>
  <si>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</si>
  <si>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</si>
  <si>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</si>
  <si>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</si>
  <si>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</si>
  <si>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</si>
  <si>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</si>
  <si>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</si>
  <si>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</si>
  <si>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</si>
  <si>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</si>
  <si>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</si>
  <si>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</si>
  <si>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</si>
  <si>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</si>
  <si>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</si>
  <si>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</si>
  <si>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</si>
  <si>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</si>
  <si>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</si>
  <si>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</si>
  <si>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</si>
  <si>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</si>
  <si>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</si>
  <si>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</si>
  <si>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</si>
  <si>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</si>
  <si>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</si>
  <si>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</si>
  <si>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</si>
  <si>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</si>
  <si>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</si>
  <si>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</si>
  <si>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</si>
  <si>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</si>
  <si>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</si>
  <si>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</si>
  <si>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</si>
  <si>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</si>
  <si>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</si>
  <si>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</si>
  <si>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</si>
  <si>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</si>
  <si>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</si>
  <si>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</si>
  <si>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</si>
  <si>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</si>
  <si>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</si>
  <si>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</si>
  <si>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</si>
  <si>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</si>
  <si>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</si>
  <si>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</si>
  <si>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</si>
  <si>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</si>
  <si>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</si>
  <si>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</si>
  <si>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</si>
  <si>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</si>
  <si>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</si>
  <si>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</si>
  <si>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</si>
  <si>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</si>
  <si>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</si>
  <si>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</si>
  <si>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</si>
  <si>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</si>
  <si>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</si>
  <si>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</si>
  <si>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</si>
  <si>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</si>
  <si>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</si>
  <si>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</si>
  <si>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</si>
  <si>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</si>
  <si>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</si>
  <si>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</si>
  <si>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</si>
  <si>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</si>
  <si>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</si>
  <si>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</si>
  <si>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</si>
  <si>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</si>
  <si>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</si>
  <si>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</si>
  <si>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</si>
  <si>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</si>
  <si>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</si>
  <si>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</si>
  <si>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</si>
  <si>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</si>
  <si>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</si>
  <si>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</si>
  <si>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</si>
  <si>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</si>
  <si>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</si>
  <si>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</si>
  <si>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</si>
  <si>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</si>
  <si>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</si>
  <si>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</si>
  <si>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</si>
  <si>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</si>
  <si>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</si>
  <si>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</si>
  <si>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</si>
  <si>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</si>
  <si>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</si>
  <si>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</si>
  <si>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</si>
  <si>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</si>
  <si>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</si>
  <si>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</si>
  <si>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</si>
  <si>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</si>
  <si>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</si>
  <si>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</si>
  <si>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</si>
  <si>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</si>
  <si>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</si>
  <si>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</si>
  <si>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</si>
  <si>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</si>
  <si>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</si>
  <si>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</si>
  <si>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</si>
  <si>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</si>
  <si>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</si>
  <si>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</si>
  <si>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</si>
  <si>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</si>
  <si>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</si>
  <si>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</si>
  <si>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</si>
  <si>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</si>
  <si>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</si>
  <si>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</si>
  <si>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</si>
  <si>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</si>
  <si>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</si>
  <si>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</si>
  <si>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</si>
  <si>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</si>
  <si>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</si>
  <si>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</si>
  <si>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</si>
  <si>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</si>
  <si>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</si>
  <si>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</si>
  <si>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</si>
  <si>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</si>
  <si>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</si>
  <si>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</si>
  <si>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</si>
  <si>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</si>
  <si>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</si>
  <si>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</si>
  <si>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</si>
  <si>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</si>
  <si>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</si>
  <si>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</si>
  <si>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</si>
  <si>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</si>
  <si>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</si>
  <si>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</si>
  <si>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</si>
  <si>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</si>
  <si>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</si>
  <si>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</si>
  <si>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</si>
  <si>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</si>
  <si>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</si>
  <si>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</si>
  <si>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</si>
  <si>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</si>
  <si>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</si>
  <si>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</si>
  <si>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</si>
  <si>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</si>
  <si>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</si>
  <si>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</si>
  <si>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</si>
  <si>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</si>
  <si>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</si>
  <si>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</si>
  <si>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</si>
  <si>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</si>
  <si>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</si>
  <si>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</si>
  <si>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</si>
  <si>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</si>
  <si>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</si>
  <si>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</si>
  <si>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</si>
  <si>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</si>
  <si>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</si>
  <si>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</si>
  <si>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</si>
  <si>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</si>
  <si>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</si>
  <si>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</si>
  <si>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</si>
  <si>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</si>
  <si>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</si>
  <si>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</si>
  <si>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</si>
  <si>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</si>
  <si>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</si>
  <si>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</si>
  <si>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</si>
  <si>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</si>
  <si>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</si>
  <si>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</si>
  <si>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</si>
  <si>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</si>
  <si>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</si>
  <si>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</si>
  <si>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</si>
  <si>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</si>
  <si>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</si>
  <si>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</si>
  <si>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</si>
  <si>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</si>
  <si>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</si>
  <si>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</si>
  <si>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</si>
  <si>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</si>
  <si>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</si>
  <si>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</si>
  <si>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</si>
  <si>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</si>
  <si>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</si>
  <si>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</si>
  <si>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</si>
  <si>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</si>
  <si>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</si>
  <si>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</si>
  <si>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</si>
  <si>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</si>
  <si>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</si>
  <si>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</si>
  <si>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</si>
  <si>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</si>
  <si>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</si>
  <si>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</si>
  <si>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</si>
  <si>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</si>
  <si>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</si>
  <si>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</si>
  <si>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</si>
  <si>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</si>
  <si>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</si>
  <si>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</si>
  <si>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</si>
  <si>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</si>
  <si>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</si>
  <si>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</si>
  <si>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</si>
  <si>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</si>
  <si>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</si>
  <si>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</si>
  <si>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</si>
  <si>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</si>
  <si>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</si>
  <si>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</si>
  <si>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</si>
  <si>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</si>
  <si>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</si>
  <si>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</si>
  <si>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</si>
  <si>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</si>
  <si>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</si>
  <si>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</si>
  <si>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</si>
  <si>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</si>
  <si>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</si>
  <si>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</si>
  <si>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</si>
  <si>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</si>
  <si>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</si>
  <si>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</si>
  <si>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</si>
  <si>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</si>
  <si>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</si>
  <si>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</si>
  <si>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</si>
  <si>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</si>
  <si>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</si>
  <si>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</si>
  <si>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</si>
  <si>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</si>
  <si>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</si>
  <si>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</si>
  <si>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</si>
  <si>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</si>
  <si>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</si>
  <si>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</si>
  <si>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</si>
  <si>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</si>
  <si>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</si>
  <si>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</si>
  <si>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</si>
  <si>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</si>
  <si>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</si>
  <si>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</si>
  <si>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</si>
  <si>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</si>
  <si>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</si>
  <si>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</si>
  <si>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</si>
  <si>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</si>
  <si>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</si>
  <si>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</si>
  <si>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</si>
  <si>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</si>
  <si>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</si>
  <si>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</si>
  <si>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</si>
  <si>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</si>
  <si>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</si>
  <si>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</si>
  <si>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</si>
  <si>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</si>
  <si>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</si>
  <si>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</si>
  <si>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</si>
  <si>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</si>
  <si>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</si>
  <si>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</si>
  <si>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</si>
  <si>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</si>
  <si>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</si>
  <si>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</si>
  <si>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</si>
  <si>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</si>
  <si>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</si>
  <si>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</si>
  <si>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</si>
  <si>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</si>
  <si>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</si>
  <si>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</si>
  <si>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</si>
  <si>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</si>
  <si>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</si>
  <si>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</si>
  <si>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</si>
  <si>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</si>
  <si>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</si>
  <si>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</si>
  <si>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</si>
  <si>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</si>
  <si>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</si>
  <si>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</si>
  <si>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</si>
  <si>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</si>
  <si>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</si>
  <si>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</si>
  <si>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</si>
  <si>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</si>
  <si>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</si>
  <si>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</si>
  <si>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</si>
  <si>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</si>
  <si>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</si>
  <si>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</si>
  <si>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</si>
  <si>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</si>
  <si>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</si>
  <si>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</si>
  <si>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</si>
  <si>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</si>
  <si>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</si>
  <si>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</si>
  <si>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</si>
  <si>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</si>
  <si>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</si>
  <si>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</si>
  <si>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</si>
  <si>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</si>
  <si>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</si>
  <si>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</si>
  <si>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</si>
  <si>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</si>
  <si>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</si>
  <si>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</si>
  <si>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</si>
  <si>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</si>
  <si>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</si>
  <si>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</si>
  <si>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</si>
  <si>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</si>
  <si>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</si>
  <si>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</si>
  <si>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</si>
  <si>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</si>
  <si>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</si>
  <si>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</si>
  <si>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</si>
  <si>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</si>
  <si>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</si>
  <si>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</si>
  <si>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</si>
  <si>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</si>
  <si>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</si>
  <si>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</si>
  <si>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</si>
  <si>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</si>
  <si>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</si>
  <si>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</si>
  <si>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</si>
  <si>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</si>
  <si>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</si>
  <si>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</si>
  <si>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</si>
  <si>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</si>
  <si>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</si>
  <si>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</si>
  <si>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</si>
  <si>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</si>
  <si>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</si>
  <si>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</si>
  <si>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</si>
  <si>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</si>
  <si>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</si>
  <si>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</si>
  <si>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</si>
  <si>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</si>
  <si>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</si>
  <si>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</si>
  <si>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</si>
  <si>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</si>
  <si>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</si>
  <si>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</si>
  <si>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</si>
  <si>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</si>
  <si>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</si>
  <si>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</si>
  <si>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</si>
  <si>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</si>
  <si>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</si>
  <si>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</si>
  <si>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</si>
  <si>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</si>
  <si>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</si>
  <si>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</si>
  <si>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</si>
  <si>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</si>
  <si>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</si>
  <si>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</si>
  <si>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</si>
  <si>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</si>
  <si>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</si>
  <si>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</si>
  <si>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</si>
  <si>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</si>
  <si>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</si>
  <si>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</si>
  <si>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</si>
  <si>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</si>
  <si>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</si>
  <si>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</si>
  <si>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</si>
  <si>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</si>
  <si>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</si>
  <si>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</si>
  <si>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</si>
  <si>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</si>
  <si>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</si>
  <si>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</si>
  <si>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</si>
  <si>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</si>
  <si>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</si>
  <si>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</si>
  <si>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</si>
  <si>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</si>
  <si>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</si>
  <si>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</si>
  <si>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</si>
  <si>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</si>
  <si>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</si>
  <si>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</si>
  <si>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</si>
  <si>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</si>
  <si>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</si>
  <si>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</si>
  <si>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</si>
  <si>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</si>
  <si>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</si>
  <si>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</si>
  <si>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</si>
  <si>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</si>
  <si>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</si>
  <si>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</si>
  <si>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</si>
  <si>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</si>
  <si>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</si>
  <si>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</si>
  <si>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</si>
  <si>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</si>
  <si>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</si>
  <si>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</si>
  <si>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</si>
  <si>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</si>
  <si>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</si>
  <si>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</si>
  <si>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</si>
  <si>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</si>
  <si>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</si>
  <si>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</si>
  <si>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</si>
  <si>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</si>
  <si>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</si>
  <si>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</si>
  <si>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</si>
  <si>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</si>
  <si>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</si>
  <si>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</si>
  <si>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</si>
  <si>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</si>
  <si>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</si>
  <si>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</si>
  <si>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</si>
  <si>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</si>
  <si>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</si>
  <si>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</si>
  <si>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</si>
  <si>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</si>
  <si>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</si>
  <si>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</si>
  <si>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</si>
  <si>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</si>
  <si>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</si>
  <si>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</si>
  <si>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</si>
  <si>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</si>
  <si>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</si>
  <si>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</si>
  <si>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</si>
  <si>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</si>
  <si>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</si>
  <si>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</si>
  <si>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</si>
  <si>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</si>
  <si>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</si>
  <si>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</si>
  <si>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</si>
  <si>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</si>
  <si>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</si>
  <si>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</si>
  <si>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</si>
  <si>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</si>
  <si>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</si>
  <si>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</si>
  <si>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</si>
  <si>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</si>
  <si>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</si>
  <si>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</si>
  <si>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</si>
  <si>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</si>
  <si>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</si>
  <si>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</si>
  <si>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</si>
  <si>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</si>
  <si>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</si>
  <si>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</si>
  <si>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</si>
  <si>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</si>
  <si>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</si>
  <si>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</si>
  <si>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</si>
  <si>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</si>
  <si>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</si>
  <si>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</si>
  <si>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</si>
  <si>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</si>
  <si>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</si>
  <si>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</si>
  <si>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</si>
  <si>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</si>
  <si>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</si>
  <si>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</si>
  <si>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</si>
  <si>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</si>
  <si>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</si>
  <si>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</si>
  <si>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</si>
  <si>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</si>
  <si>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</si>
  <si>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</si>
  <si>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</si>
  <si>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</si>
  <si>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</si>
  <si>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</si>
  <si>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</si>
  <si>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</si>
  <si>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</si>
  <si>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</si>
  <si>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</si>
  <si>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</si>
  <si>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</si>
  <si>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</si>
  <si>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</si>
  <si>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</si>
  <si>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</si>
  <si>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</si>
  <si>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</si>
  <si>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</si>
  <si>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</si>
  <si>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</si>
  <si>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</si>
  <si>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</si>
  <si>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</si>
  <si>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</si>
  <si>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</si>
  <si>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</si>
  <si>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</si>
  <si>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</si>
  <si>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</si>
  <si>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</si>
  <si>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</si>
  <si>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</si>
  <si>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</si>
  <si>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</si>
  <si>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</si>
  <si>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</si>
  <si>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</si>
  <si>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</si>
  <si>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</si>
  <si>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</si>
  <si>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</si>
  <si>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</si>
  <si>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</si>
  <si>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</si>
  <si>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</si>
  <si>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</si>
  <si>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</si>
  <si>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</si>
  <si>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</si>
  <si>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</si>
  <si>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</si>
  <si>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</si>
  <si>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</si>
  <si>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</si>
  <si>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</si>
  <si>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</si>
  <si>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</si>
  <si>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</si>
  <si>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</si>
  <si>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</si>
  <si>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</si>
  <si>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</si>
  <si>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</si>
  <si>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</si>
  <si>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</si>
  <si>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</si>
  <si>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</si>
  <si>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</si>
  <si>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</si>
  <si>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</si>
  <si>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</si>
  <si>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</si>
  <si>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</si>
  <si>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</si>
  <si>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</si>
  <si>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</si>
  <si>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</si>
  <si>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</si>
  <si>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</si>
  <si>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</si>
  <si>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</si>
  <si>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</si>
  <si>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</si>
  <si>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</si>
  <si>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</si>
  <si>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</si>
  <si>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</si>
  <si>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</si>
  <si>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</si>
  <si>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</si>
  <si>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</si>
  <si>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</si>
  <si>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</si>
  <si>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</si>
  <si>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</si>
  <si>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</si>
  <si>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</si>
  <si>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</si>
  <si>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</si>
  <si>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</si>
  <si>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</si>
  <si>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</si>
  <si>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</si>
  <si>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</si>
  <si>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</si>
  <si>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</si>
  <si>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</si>
  <si>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</si>
  <si>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</si>
  <si>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</si>
  <si>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</si>
  <si>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</si>
  <si>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</si>
  <si>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</si>
  <si>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</si>
  <si>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</si>
  <si>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</si>
  <si>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</si>
  <si>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</si>
  <si>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</si>
  <si>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</si>
  <si>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</si>
  <si>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</si>
  <si>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</si>
  <si>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</si>
  <si>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</si>
  <si>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</si>
  <si>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</si>
  <si>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</si>
  <si>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</si>
  <si>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</si>
  <si>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</si>
  <si>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</si>
  <si>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</si>
  <si>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</si>
  <si>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</si>
  <si>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</si>
  <si>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</si>
  <si>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</si>
  <si>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</si>
  <si>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</si>
  <si>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</si>
  <si>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</si>
  <si>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</si>
  <si>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</si>
  <si>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</si>
  <si>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</si>
  <si>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</si>
  <si>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</si>
  <si>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</si>
  <si>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</si>
  <si>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</si>
  <si>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</si>
  <si>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</si>
  <si>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</si>
  <si>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</si>
  <si>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</si>
  <si>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</si>
  <si>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</si>
  <si>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</si>
  <si>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</si>
  <si>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</si>
  <si>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</si>
  <si>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</si>
  <si>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</si>
  <si>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</si>
  <si>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</si>
  <si>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</si>
  <si>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</si>
  <si>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</si>
  <si>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</si>
  <si>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</si>
  <si>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</si>
  <si>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</si>
  <si>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</si>
  <si>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</si>
  <si>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</si>
  <si>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</si>
  <si>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</si>
  <si>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</si>
  <si>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</si>
  <si>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</si>
  <si>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</si>
  <si>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</si>
  <si>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</si>
  <si>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</si>
  <si>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</si>
  <si>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</si>
  <si>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</si>
  <si>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</si>
  <si>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</si>
  <si>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</si>
  <si>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</si>
  <si>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</si>
  <si>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</si>
  <si>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</si>
  <si>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</si>
  <si>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</si>
  <si>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</si>
  <si>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</si>
  <si>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</si>
  <si>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</si>
  <si>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</si>
  <si>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</si>
  <si>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</si>
  <si>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</si>
  <si>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</si>
  <si>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</si>
  <si>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</si>
  <si>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</si>
  <si>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</si>
  <si>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</si>
  <si>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</si>
  <si>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</si>
  <si>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</si>
  <si>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</si>
  <si>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</si>
  <si>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</si>
  <si>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</si>
  <si>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</si>
  <si>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</si>
  <si>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</si>
  <si>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</si>
  <si>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</si>
  <si>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</si>
  <si>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</si>
  <si>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</si>
  <si>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</si>
  <si>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</si>
  <si>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</si>
  <si>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</si>
  <si>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</si>
  <si>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</si>
  <si>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</si>
  <si>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</si>
  <si>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</si>
  <si>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</si>
  <si>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</si>
  <si>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</si>
  <si>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</si>
  <si>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</si>
  <si>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</si>
  <si>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</si>
  <si>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</si>
  <si>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</si>
  <si>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</si>
  <si>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</si>
  <si>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</si>
  <si>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</si>
  <si>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</si>
  <si>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</si>
  <si>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</si>
  <si>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</si>
  <si>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</si>
  <si>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</si>
  <si>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</si>
  <si>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</si>
  <si>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</si>
  <si>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</si>
  <si>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</si>
  <si>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</si>
  <si>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</si>
  <si>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</si>
  <si>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</si>
  <si>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</si>
  <si>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</si>
  <si>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</si>
  <si>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</si>
  <si>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</si>
  <si>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</si>
  <si>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</si>
  <si>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</si>
  <si>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</si>
  <si>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</si>
  <si>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</si>
  <si>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</si>
  <si>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</si>
  <si>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</si>
  <si>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</si>
  <si>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</si>
  <si>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</si>
  <si>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</si>
  <si>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</si>
  <si>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</si>
  <si>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</si>
  <si>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</si>
  <si>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</si>
  <si>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</si>
  <si>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</si>
  <si>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</si>
  <si>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</si>
  <si>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</si>
  <si>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</si>
  <si>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</si>
  <si>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</si>
  <si>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</si>
  <si>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</si>
  <si>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</si>
  <si>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</si>
  <si>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</si>
  <si>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</si>
  <si>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</si>
  <si>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</si>
  <si>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</si>
  <si>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</si>
  <si>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</si>
  <si>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</si>
  <si>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</si>
  <si>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</si>
  <si>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</si>
  <si>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</si>
  <si>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</si>
  <si>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</si>
  <si>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</si>
  <si>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</si>
  <si>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</si>
  <si>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</si>
  <si>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</si>
  <si>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</si>
  <si>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</si>
  <si>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</si>
  <si>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</si>
  <si>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</si>
  <si>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</si>
  <si>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</si>
  <si>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</si>
  <si>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</si>
  <si>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</si>
  <si>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</si>
  <si>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</si>
  <si>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</si>
  <si>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</si>
  <si>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</si>
  <si>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</si>
  <si>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</si>
  <si>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</si>
  <si>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</si>
  <si>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</si>
  <si>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</si>
  <si>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</si>
  <si>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</si>
  <si>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</si>
  <si>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</si>
  <si>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</si>
  <si>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</si>
  <si>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</si>
  <si>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</si>
  <si>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</si>
  <si>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</si>
  <si>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</si>
  <si>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</si>
  <si>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</si>
  <si>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</si>
  <si>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</si>
  <si>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</si>
  <si>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</si>
  <si>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</si>
  <si>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</si>
  <si>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</si>
  <si>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</si>
  <si>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</si>
  <si>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</si>
  <si>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</si>
  <si>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</si>
  <si>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</si>
  <si>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</si>
  <si>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</si>
  <si>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</si>
  <si>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</si>
  <si>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</si>
  <si>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</si>
  <si>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</si>
  <si>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</si>
  <si>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</si>
  <si>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</si>
  <si>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</si>
  <si>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</si>
  <si>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</si>
  <si>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</si>
  <si>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</si>
  <si>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</si>
  <si>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</si>
  <si>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</si>
  <si>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</si>
  <si>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</si>
  <si>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</si>
  <si>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</si>
  <si>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</si>
  <si>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</si>
  <si>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</si>
  <si>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</si>
  <si>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</si>
  <si>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</si>
  <si>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</si>
  <si>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</si>
  <si>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</si>
  <si>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</si>
  <si>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</si>
  <si>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</si>
  <si>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</si>
  <si>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</si>
  <si>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</si>
  <si>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</si>
  <si>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</si>
  <si>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</si>
  <si>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</si>
  <si>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</si>
  <si>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</si>
  <si>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</si>
  <si>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</si>
  <si>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</si>
  <si>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</si>
  <si>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</si>
  <si>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</si>
  <si>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</si>
  <si>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</si>
  <si>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</si>
  <si>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</si>
  <si>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</si>
  <si>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</si>
  <si>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</si>
  <si>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</si>
  <si>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</si>
  <si>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</si>
  <si>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</si>
  <si>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</si>
  <si>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</si>
  <si>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</si>
  <si>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</si>
  <si>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</si>
  <si>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</si>
  <si>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</si>
  <si>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</si>
  <si>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</si>
  <si>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</si>
  <si>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</si>
  <si>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</si>
  <si>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</si>
  <si>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</si>
  <si>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</si>
  <si>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</si>
  <si>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</si>
  <si>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</si>
  <si>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</si>
  <si>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</si>
  <si>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</si>
  <si>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</si>
  <si>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</si>
  <si>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</si>
  <si>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</si>
  <si>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</si>
  <si>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</si>
  <si>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</si>
  <si>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</si>
  <si>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</si>
  <si>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</si>
  <si>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</si>
  <si>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</si>
  <si>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</si>
  <si>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</si>
  <si>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</si>
  <si>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</si>
  <si>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</si>
  <si>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</si>
  <si>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</si>
  <si>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</si>
  <si>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</si>
  <si>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</si>
  <si>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</si>
  <si>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</si>
  <si>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</si>
  <si>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</si>
  <si>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</si>
  <si>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</si>
  <si>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</si>
  <si>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</si>
  <si>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</si>
  <si>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</si>
  <si>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</si>
  <si>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</si>
  <si>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</si>
  <si>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</si>
  <si>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</si>
  <si>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</si>
  <si>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</si>
  <si>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</si>
  <si>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</si>
  <si>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</si>
  <si>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</si>
  <si>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</si>
  <si>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</si>
  <si>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</si>
  <si>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</si>
  <si>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</si>
  <si>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</si>
  <si>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</si>
  <si>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</si>
  <si>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</si>
  <si>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</si>
  <si>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</si>
  <si>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</si>
  <si>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</si>
  <si>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</si>
  <si>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</si>
  <si>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</si>
  <si>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</si>
  <si>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</si>
  <si>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</si>
  <si>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</si>
  <si>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</si>
  <si>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</si>
  <si>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</si>
  <si>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</si>
  <si>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</si>
  <si>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</si>
  <si>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</si>
  <si>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</si>
  <si>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</si>
  <si>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</si>
  <si>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</si>
  <si>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</si>
  <si>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</si>
  <si>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</si>
  <si>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</si>
  <si>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</si>
  <si>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</si>
  <si>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</si>
  <si>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</si>
  <si>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</si>
  <si>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</si>
  <si>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</si>
  <si>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</si>
  <si>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</si>
  <si>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</si>
  <si>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</si>
  <si>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</si>
  <si>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</si>
  <si>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</si>
  <si>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</si>
  <si>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</si>
  <si>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</si>
  <si>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</si>
  <si>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</si>
  <si>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</si>
  <si>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</si>
  <si>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</si>
  <si>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</si>
  <si>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</si>
  <si>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</si>
  <si>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</si>
  <si>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</si>
  <si>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</si>
  <si>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</si>
  <si>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</si>
  <si>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</si>
  <si>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</si>
  <si>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</si>
  <si>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</si>
  <si>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</si>
  <si>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</si>
  <si>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</si>
  <si>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</si>
  <si>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</si>
  <si>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</si>
  <si>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</si>
  <si>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</si>
  <si>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</si>
  <si>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</si>
  <si>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</si>
  <si>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</si>
  <si>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</si>
  <si>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</si>
  <si>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</si>
  <si>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</si>
  <si>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</si>
  <si>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</si>
  <si>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</si>
  <si>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</si>
  <si>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</si>
  <si>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</si>
  <si>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</si>
  <si>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</si>
  <si>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</si>
  <si>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</si>
  <si>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</si>
  <si>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</si>
  <si>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</si>
  <si>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</si>
  <si>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</si>
  <si>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</si>
  <si>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</si>
  <si>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</si>
  <si>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</si>
  <si>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</si>
  <si>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</si>
  <si>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</si>
  <si>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</si>
  <si>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</si>
  <si>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</si>
  <si>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</si>
  <si>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</si>
  <si>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</si>
  <si>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</si>
  <si>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</si>
  <si>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</si>
  <si>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</si>
  <si>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</si>
  <si>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</si>
  <si>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</si>
  <si>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</si>
  <si>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</si>
  <si>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</si>
  <si>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</si>
  <si>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</si>
  <si>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</si>
  <si>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</si>
  <si>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</si>
  <si>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</si>
  <si>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</si>
  <si>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</si>
  <si>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</si>
  <si>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</si>
  <si>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</si>
  <si>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</si>
  <si>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</si>
  <si>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</si>
  <si>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</si>
  <si>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</si>
  <si>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</si>
  <si>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</si>
  <si>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</si>
  <si>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</si>
  <si>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</si>
  <si>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</si>
  <si>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</si>
  <si>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</si>
  <si>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</si>
  <si>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</si>
  <si>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</si>
  <si>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</si>
  <si>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</si>
  <si>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</si>
  <si>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</si>
  <si>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</si>
  <si>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</si>
  <si>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</si>
  <si>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</si>
  <si>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</si>
  <si>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</si>
  <si>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</si>
  <si>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</si>
  <si>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</si>
  <si>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</si>
  <si>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</si>
  <si>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</si>
  <si>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</si>
  <si>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</si>
  <si>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</si>
  <si>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</si>
  <si>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</si>
  <si>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</si>
  <si>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</si>
  <si>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</si>
  <si>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</si>
  <si>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</si>
  <si>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</si>
  <si>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</si>
  <si>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</si>
  <si>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</si>
  <si>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</si>
  <si>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</si>
  <si>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</si>
  <si>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</si>
  <si>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</si>
  <si>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</si>
  <si>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</si>
  <si>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</si>
  <si>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</si>
  <si>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</si>
  <si>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</si>
  <si>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</si>
  <si>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</si>
  <si>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</si>
  <si>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</si>
  <si>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</si>
  <si>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</si>
  <si>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</si>
  <si>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</si>
  <si>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</si>
  <si>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</si>
  <si>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</si>
  <si>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</si>
  <si>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</si>
  <si>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</si>
  <si>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</si>
  <si>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</si>
  <si>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</si>
  <si>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</si>
  <si>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</si>
  <si>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</si>
  <si>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</si>
  <si>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</si>
  <si>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</si>
  <si>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</si>
  <si>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</si>
  <si>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</si>
  <si>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</si>
  <si>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</si>
  <si>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</si>
  <si>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</si>
  <si>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</si>
  <si>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</si>
  <si>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</si>
  <si>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</si>
  <si>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</si>
  <si>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</si>
  <si>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</si>
  <si>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</si>
  <si>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</si>
  <si>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</si>
  <si>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</si>
  <si>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</si>
  <si>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</si>
  <si>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</si>
  <si>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</si>
  <si>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</si>
  <si>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</si>
  <si>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</si>
  <si>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</si>
  <si>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</si>
  <si>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</si>
  <si>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</si>
  <si>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</si>
  <si>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</si>
  <si>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</si>
  <si>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</si>
  <si>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</si>
  <si>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</si>
  <si>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</si>
  <si>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</si>
  <si>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</si>
  <si>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</si>
  <si>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</si>
  <si>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</si>
  <si>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</si>
  <si>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</si>
  <si>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</si>
  <si>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</si>
  <si>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</si>
  <si>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</si>
  <si>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</si>
  <si>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</si>
  <si>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</si>
  <si>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</si>
  <si>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</si>
  <si>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</si>
  <si>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</si>
  <si>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</si>
  <si>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</si>
  <si>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</si>
  <si>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</si>
  <si>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</si>
  <si>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</si>
  <si>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</si>
  <si>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</si>
  <si>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</si>
  <si>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</si>
  <si>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</si>
  <si>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</si>
  <si>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</si>
  <si>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</si>
  <si>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</si>
  <si>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</si>
  <si>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</si>
  <si>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</si>
  <si>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</si>
  <si>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</si>
  <si>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</si>
  <si>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</si>
  <si>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</si>
  <si>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</si>
  <si>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</si>
  <si>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</si>
  <si>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</si>
  <si>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</si>
  <si>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</si>
  <si>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</si>
  <si>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</si>
  <si>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</si>
  <si>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</si>
  <si>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</si>
  <si>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</si>
  <si>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</si>
  <si>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</si>
  <si>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</si>
  <si>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</si>
  <si>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</si>
  <si>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</si>
  <si>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</si>
  <si>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</si>
  <si>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</si>
  <si>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</si>
  <si>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</si>
  <si>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</si>
  <si>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</si>
  <si>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</si>
  <si>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</si>
  <si>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</si>
  <si>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</si>
  <si>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</si>
  <si>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</si>
  <si>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</si>
  <si>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</si>
  <si>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</si>
  <si>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</si>
  <si>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</si>
  <si>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</si>
  <si>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</si>
  <si>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</si>
  <si>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</si>
  <si>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</si>
  <si>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</si>
  <si>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</si>
  <si>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</si>
  <si>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</si>
  <si>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</si>
  <si>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</si>
  <si>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</si>
  <si>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</si>
  <si>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</si>
  <si>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</si>
  <si>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</si>
  <si>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</si>
  <si>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</si>
  <si>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</si>
  <si>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</si>
  <si>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</si>
  <si>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</si>
  <si>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</si>
  <si>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</si>
  <si>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</si>
  <si>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</si>
  <si>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</si>
  <si>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</si>
  <si>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</si>
  <si>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</si>
  <si>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</si>
  <si>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</si>
  <si>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</si>
  <si>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</si>
  <si>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</si>
  <si>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</si>
  <si>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</si>
  <si>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</si>
  <si>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</si>
  <si>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</si>
  <si>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</si>
  <si>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</si>
  <si>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</si>
  <si>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</si>
  <si>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</si>
  <si>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</si>
  <si>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</si>
  <si>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</si>
  <si>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</si>
  <si>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</si>
  <si>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</si>
  <si>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</si>
  <si>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</si>
  <si>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</si>
  <si>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</si>
  <si>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</si>
  <si>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</si>
  <si>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</si>
  <si>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</si>
  <si>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</si>
  <si>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</si>
  <si>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</si>
  <si>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</si>
  <si>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</si>
  <si>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</si>
  <si>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</si>
  <si>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</si>
  <si>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</si>
  <si>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</si>
  <si>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</si>
  <si>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</si>
  <si>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</si>
  <si>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</si>
  <si>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</si>
  <si>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</si>
  <si>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</si>
  <si>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</si>
  <si>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</si>
  <si>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</si>
  <si>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</si>
  <si>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</si>
  <si>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</si>
  <si>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</si>
  <si>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</si>
  <si>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</si>
  <si>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</si>
  <si>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</si>
  <si>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</si>
  <si>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</si>
  <si>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</si>
  <si>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</si>
  <si>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</si>
  <si>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</si>
  <si>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</si>
  <si>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</si>
  <si>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</si>
  <si>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</si>
  <si>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</si>
  <si>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</si>
  <si>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</si>
  <si>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</si>
  <si>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</si>
  <si>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</si>
  <si>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</si>
  <si>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</si>
  <si>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</si>
  <si>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</si>
  <si>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</si>
  <si>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</si>
  <si>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</si>
  <si>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</si>
  <si>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</si>
  <si>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</si>
  <si>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</si>
  <si>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</si>
  <si>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</si>
  <si>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</si>
  <si>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</si>
  <si>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</si>
  <si>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</si>
  <si>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</si>
  <si>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</si>
  <si>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</si>
  <si>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</si>
  <si>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</si>
  <si>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</si>
  <si>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</si>
  <si>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</si>
  <si>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</si>
  <si>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</si>
  <si>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</si>
  <si>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</si>
  <si>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</si>
  <si>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</si>
  <si>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</si>
  <si>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</si>
  <si>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</si>
  <si>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</si>
  <si>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</si>
  <si>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</si>
  <si>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</si>
  <si>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</si>
  <si>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</si>
  <si>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</si>
  <si>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</si>
  <si>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</si>
  <si>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</si>
  <si>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</si>
  <si>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</si>
  <si>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</si>
  <si>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</si>
  <si>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</si>
  <si>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</si>
  <si>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</si>
  <si>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</si>
  <si>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</si>
  <si>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</si>
  <si>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</si>
  <si>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</si>
  <si>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</si>
  <si>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</si>
  <si>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</si>
  <si>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</si>
  <si>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</si>
  <si>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</si>
  <si>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</si>
  <si>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</si>
  <si>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</si>
  <si>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</si>
  <si>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</si>
  <si>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</si>
  <si>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</si>
  <si>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</si>
  <si>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</si>
  <si>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</si>
  <si>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</si>
  <si>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</si>
  <si>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</si>
  <si>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</si>
  <si>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</si>
  <si>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</si>
  <si>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</si>
  <si>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</si>
  <si>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</si>
  <si>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</si>
  <si>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</si>
  <si>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</si>
  <si>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</si>
  <si>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</si>
  <si>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</si>
  <si>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</si>
  <si>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</si>
  <si>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</si>
  <si>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</si>
  <si>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</si>
  <si>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</si>
  <si>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</si>
  <si>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</si>
  <si>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</si>
  <si>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</si>
  <si>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</si>
  <si>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</si>
  <si>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</si>
  <si>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</si>
  <si>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</si>
  <si>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</si>
  <si>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</si>
  <si>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</si>
  <si>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</si>
  <si>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</si>
  <si>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</si>
  <si>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</si>
  <si>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</si>
  <si>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</si>
  <si>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</si>
  <si>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</si>
  <si>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</si>
  <si>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</si>
  <si>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</si>
  <si>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</si>
  <si>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</si>
  <si>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</si>
  <si>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</si>
  <si>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</si>
  <si>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</si>
  <si>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</si>
  <si>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</si>
  <si>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</si>
  <si>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</si>
  <si>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</si>
  <si>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</si>
  <si>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</si>
  <si>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</si>
  <si>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</si>
  <si>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</si>
  <si>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</si>
  <si>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</si>
  <si>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</si>
  <si>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</si>
  <si>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</si>
  <si>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</si>
  <si>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</si>
  <si>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</si>
  <si>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</si>
  <si>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</si>
  <si>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</si>
  <si>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</si>
  <si>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</si>
  <si>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</si>
  <si>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</si>
  <si>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</si>
  <si>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</si>
  <si>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</si>
  <si>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</si>
  <si>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</si>
  <si>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</si>
  <si>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</si>
  <si>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</si>
  <si>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</si>
  <si>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</si>
  <si>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</si>
  <si>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</si>
  <si>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</si>
  <si>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</si>
  <si>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</si>
  <si>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</si>
  <si>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</si>
  <si>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</si>
  <si>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</si>
  <si>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</si>
  <si>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</si>
  <si>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</si>
  <si>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</si>
  <si>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</si>
  <si>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</si>
  <si>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</si>
  <si>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</si>
  <si>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</si>
  <si>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</si>
  <si>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</si>
  <si>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</si>
  <si>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</si>
  <si>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</si>
  <si>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</si>
  <si>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</si>
  <si>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</si>
  <si>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</si>
  <si>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</si>
  <si>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</si>
  <si>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</si>
  <si>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</si>
  <si>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</si>
  <si>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</si>
  <si>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</si>
  <si>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</si>
  <si>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</si>
  <si>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</si>
  <si>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</si>
  <si>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</si>
  <si>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</si>
  <si>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</si>
  <si>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</si>
  <si>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</si>
  <si>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</si>
  <si>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</si>
  <si>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</si>
  <si>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</si>
  <si>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</si>
  <si>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</si>
  <si>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</si>
  <si>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</si>
  <si>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</si>
  <si>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</si>
  <si>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</si>
  <si>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</si>
  <si>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</si>
  <si>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</si>
  <si>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</si>
  <si>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</si>
  <si>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</si>
  <si>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</si>
  <si>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</si>
  <si>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</si>
  <si>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</si>
  <si>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</si>
  <si>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</si>
  <si>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</si>
  <si>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</si>
  <si>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</si>
  <si>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</si>
  <si>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</si>
  <si>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</si>
  <si>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</si>
  <si>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</si>
  <si>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</si>
  <si>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</si>
  <si>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</si>
  <si>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</si>
  <si>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</si>
  <si>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</si>
  <si>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</si>
  <si>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</si>
  <si>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</si>
  <si>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</si>
  <si>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</si>
  <si>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</si>
  <si>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</si>
  <si>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</si>
  <si>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</si>
  <si>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</si>
  <si>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</si>
  <si>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</si>
  <si>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</si>
  <si>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</si>
  <si>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</si>
  <si>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</si>
  <si>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</si>
  <si>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</si>
  <si>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</si>
  <si>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</si>
  <si>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</si>
  <si>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</si>
  <si>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</si>
  <si>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</si>
  <si>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</si>
  <si>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</si>
  <si>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</si>
  <si>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</si>
  <si>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</si>
  <si>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</si>
  <si>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</si>
  <si>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</si>
  <si>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</si>
  <si>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</si>
  <si>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</si>
  <si>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</si>
  <si>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</si>
  <si>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</si>
  <si>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</si>
  <si>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</si>
  <si>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</si>
  <si>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</si>
  <si>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</si>
  <si>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</si>
  <si>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</si>
  <si>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</si>
  <si>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</si>
  <si>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</si>
  <si>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</si>
  <si>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</si>
  <si>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</si>
  <si>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</si>
  <si>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</si>
  <si>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</si>
  <si>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</si>
  <si>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</si>
  <si>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</si>
  <si>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</si>
  <si>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</si>
  <si>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</si>
  <si>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</si>
  <si>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</si>
  <si>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</si>
  <si>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</si>
  <si>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</si>
  <si>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</si>
  <si>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</si>
  <si>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</si>
  <si>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</si>
  <si>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</si>
  <si>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</si>
  <si>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</si>
  <si>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</si>
  <si>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</si>
  <si>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</si>
  <si>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</si>
  <si>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</si>
  <si>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</si>
  <si>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</si>
  <si>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</si>
  <si>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</si>
  <si>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</si>
  <si>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</si>
  <si>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</si>
  <si>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</si>
  <si>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</si>
  <si>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</si>
  <si>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</si>
  <si>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</si>
  <si>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</si>
  <si>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</si>
  <si>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</si>
  <si>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</si>
  <si>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</si>
  <si>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</si>
  <si>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</si>
  <si>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</si>
  <si>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</si>
  <si>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</si>
  <si>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</si>
  <si>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</si>
  <si>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</si>
  <si>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</si>
  <si>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</si>
  <si>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</si>
  <si>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</si>
  <si>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</si>
  <si>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</si>
  <si>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</si>
  <si>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</si>
  <si>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</si>
  <si>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</si>
  <si>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</si>
  <si>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</si>
  <si>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</si>
  <si>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</si>
  <si>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</si>
  <si>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</si>
  <si>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</si>
  <si>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</si>
  <si>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</si>
  <si>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</si>
  <si>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</si>
  <si>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</si>
  <si>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</si>
  <si>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</si>
  <si>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</si>
  <si>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</si>
  <si>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</si>
  <si>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</si>
  <si>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</si>
  <si>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</si>
  <si>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</si>
  <si>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</si>
  <si>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</si>
  <si>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</si>
  <si>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</si>
  <si>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</si>
  <si>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</si>
  <si>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</si>
  <si>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</si>
  <si>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</si>
  <si>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</si>
  <si>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</si>
  <si>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</si>
  <si>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</si>
  <si>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</si>
  <si>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</si>
  <si>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</si>
  <si>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</si>
  <si>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</si>
  <si>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</si>
  <si>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</si>
  <si>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</si>
  <si>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</si>
  <si>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</si>
  <si>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</si>
  <si>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</si>
  <si>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</si>
  <si>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</si>
  <si>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</si>
  <si>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</si>
  <si>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</si>
  <si>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</si>
  <si>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</si>
  <si>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</si>
  <si>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</si>
  <si>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</si>
  <si>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</si>
  <si>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</si>
  <si>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</si>
  <si>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</si>
  <si>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</si>
  <si>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</si>
  <si>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</si>
  <si>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</si>
  <si>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</si>
  <si>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</si>
  <si>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</si>
  <si>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</si>
  <si>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</si>
  <si>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</si>
  <si>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</si>
  <si>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</si>
  <si>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</si>
  <si>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</si>
  <si>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</si>
  <si>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</si>
  <si>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</si>
  <si>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</si>
  <si>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</si>
  <si>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</si>
  <si>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</si>
  <si>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</si>
  <si>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</si>
  <si>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</si>
  <si>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</si>
  <si>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</si>
  <si>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</si>
  <si>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</si>
  <si>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</si>
  <si>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</si>
  <si>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</si>
  <si>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</si>
  <si>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</si>
  <si>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</si>
  <si>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</si>
  <si>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</si>
  <si>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</si>
  <si>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</si>
  <si>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</si>
  <si>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</si>
  <si>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</si>
  <si>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</si>
  <si>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</si>
  <si>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</si>
  <si>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</si>
  <si>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</si>
  <si>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</si>
  <si>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</si>
  <si>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</si>
  <si>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</si>
  <si>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</si>
  <si>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</si>
  <si>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</si>
  <si>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</si>
  <si>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</si>
  <si>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</si>
  <si>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</si>
  <si>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</si>
  <si>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</si>
  <si>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</si>
  <si>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</si>
  <si>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</si>
  <si>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</si>
  <si>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</si>
  <si>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</si>
  <si>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</si>
  <si>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</si>
  <si>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</si>
  <si>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</si>
  <si>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</si>
  <si>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</si>
  <si>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</si>
  <si>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</si>
  <si>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</si>
  <si>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</si>
  <si>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</si>
  <si>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</si>
  <si>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</si>
  <si>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</si>
  <si>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</si>
  <si>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</si>
  <si>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</si>
  <si>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</si>
  <si>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</si>
  <si>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</si>
  <si>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</si>
  <si>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</si>
  <si>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</si>
  <si>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</si>
  <si>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</si>
  <si>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</si>
  <si>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</si>
  <si>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</si>
  <si>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</si>
  <si>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</si>
  <si>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</si>
  <si>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</si>
  <si>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</si>
  <si>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</si>
  <si>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</si>
  <si>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</si>
  <si>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</si>
  <si>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</si>
  <si>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</si>
  <si>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</si>
  <si>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</si>
  <si>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</si>
  <si>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</si>
  <si>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</si>
  <si>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</si>
  <si>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</si>
  <si>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</si>
  <si>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</si>
  <si>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</si>
  <si>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</si>
  <si>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</si>
  <si>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</si>
  <si>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</si>
  <si>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</si>
  <si>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</si>
  <si>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</si>
  <si>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</si>
  <si>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</si>
  <si>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</si>
  <si>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</si>
  <si>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</si>
  <si>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</si>
  <si>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</si>
  <si>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</si>
  <si>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</si>
  <si>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</si>
  <si>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</si>
  <si>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</si>
  <si>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</si>
  <si>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</si>
  <si>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</si>
  <si>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</si>
  <si>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</si>
  <si>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</si>
  <si>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</si>
  <si>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</si>
  <si>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</si>
  <si>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</si>
  <si>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</si>
  <si>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</si>
  <si>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</si>
  <si>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</si>
  <si>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</si>
  <si>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</si>
  <si>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</si>
  <si>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</si>
  <si>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</si>
  <si>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</si>
  <si>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</si>
  <si>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</si>
  <si>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</si>
  <si>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</si>
  <si>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</si>
  <si>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</si>
  <si>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</si>
  <si>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</si>
  <si>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</si>
  <si>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</si>
  <si>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</si>
  <si>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</si>
  <si>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</si>
  <si>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</si>
  <si>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</si>
  <si>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</si>
  <si>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</si>
  <si>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</si>
  <si>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</si>
  <si>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</si>
  <si>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</si>
  <si>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</si>
  <si>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</si>
  <si>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</si>
  <si>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</si>
  <si>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</si>
  <si>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</si>
  <si>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</si>
  <si>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</si>
  <si>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</si>
  <si>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</si>
  <si>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</si>
  <si>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</si>
  <si>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</si>
  <si>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</si>
  <si>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</si>
  <si>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</si>
  <si>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</si>
  <si>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</si>
  <si>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</si>
  <si>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</si>
  <si>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</si>
  <si>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</si>
  <si>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</si>
  <si>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</si>
  <si>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</si>
  <si>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</si>
  <si>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</si>
  <si>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</si>
  <si>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</si>
  <si>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</si>
  <si>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</si>
  <si>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</si>
  <si>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</si>
  <si>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</si>
  <si>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</si>
  <si>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</si>
  <si>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</si>
  <si>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</si>
  <si>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</si>
  <si>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</si>
  <si>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</si>
  <si>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</si>
  <si>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</si>
  <si>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</si>
  <si>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</si>
  <si>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</si>
  <si>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</si>
  <si>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</si>
  <si>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</si>
  <si>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</si>
  <si>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</si>
  <si>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</si>
  <si>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</si>
  <si>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</si>
  <si>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</si>
  <si>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</si>
  <si>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</si>
  <si>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</si>
  <si>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</si>
  <si>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</si>
  <si>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</si>
  <si>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</si>
  <si>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</si>
  <si>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</si>
  <si>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</si>
  <si>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</si>
  <si>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</si>
  <si>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</si>
  <si>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</si>
  <si>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</si>
  <si>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</si>
  <si>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</si>
  <si>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</si>
  <si>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</si>
  <si>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</si>
  <si>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</si>
  <si>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</si>
  <si>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</si>
  <si>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</si>
  <si>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</si>
  <si>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</si>
  <si>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</si>
  <si>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</si>
  <si>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</si>
  <si>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</si>
  <si>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</si>
  <si>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</si>
  <si>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</si>
  <si>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</si>
  <si>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</si>
  <si>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</si>
  <si>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</si>
  <si>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</si>
  <si>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</si>
  <si>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</si>
  <si>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</si>
  <si>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</si>
  <si>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</si>
  <si>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</si>
  <si>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</si>
  <si>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</si>
  <si>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</si>
  <si>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</si>
  <si>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</si>
  <si>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</si>
  <si>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</si>
  <si>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</si>
  <si>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</si>
  <si>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</si>
  <si>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</si>
  <si>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</si>
  <si>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</si>
  <si>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</si>
  <si>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</si>
  <si>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</si>
  <si>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</si>
  <si>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</si>
  <si>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</si>
  <si>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</si>
  <si>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</si>
  <si>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</si>
  <si>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</si>
  <si>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</si>
  <si>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</si>
  <si>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</si>
  <si>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</si>
  <si>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</si>
  <si>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</si>
  <si>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</si>
  <si>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</si>
  <si>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</si>
  <si>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</si>
  <si>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</si>
  <si>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</si>
  <si>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</si>
  <si>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</si>
  <si>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</si>
  <si>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</si>
  <si>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</si>
  <si>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</si>
  <si>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</si>
  <si>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</si>
  <si>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</si>
  <si>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</si>
  <si>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</si>
  <si>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</si>
  <si>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</si>
  <si>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</si>
  <si>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</si>
  <si>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</si>
  <si>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</si>
  <si>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</si>
  <si>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</si>
  <si>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</si>
  <si>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</si>
  <si>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</si>
  <si>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</si>
  <si>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</si>
  <si>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</si>
  <si>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</si>
  <si>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</si>
  <si>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</si>
  <si>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</si>
  <si>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</si>
  <si>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</si>
  <si>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</si>
  <si>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</si>
  <si>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</si>
  <si>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</si>
  <si>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</si>
  <si>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</si>
  <si>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</si>
  <si>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</si>
  <si>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</si>
  <si>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</si>
  <si>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</si>
  <si>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</si>
  <si>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</si>
  <si>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</si>
  <si>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</si>
  <si>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</si>
  <si>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</si>
  <si>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</si>
  <si>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</si>
  <si>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</si>
  <si>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</si>
  <si>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</si>
  <si>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</si>
  <si>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</si>
  <si>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</si>
  <si>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</si>
  <si>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</si>
  <si>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</si>
  <si>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</si>
  <si>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</si>
  <si>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</si>
  <si>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</si>
  <si>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</si>
  <si>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</si>
  <si>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</si>
  <si>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</si>
  <si>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</si>
  <si>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</si>
  <si>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</si>
  <si>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</si>
  <si>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</si>
  <si>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</si>
  <si>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</si>
  <si>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</si>
  <si>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</si>
  <si>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</si>
  <si>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</si>
  <si>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</si>
  <si>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</si>
  <si>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</si>
  <si>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</si>
  <si>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</si>
  <si>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</si>
  <si>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</si>
  <si>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</si>
  <si>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</si>
  <si>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</si>
  <si>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</si>
  <si>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</si>
  <si>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</si>
  <si>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</si>
  <si>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</si>
  <si>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</si>
  <si>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</si>
  <si>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</si>
  <si>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</si>
  <si>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</si>
  <si>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</si>
  <si>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</si>
  <si>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</si>
  <si>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</si>
  <si>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</si>
  <si>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</si>
  <si>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</si>
  <si>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</si>
  <si>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</si>
  <si>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</si>
  <si>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</si>
  <si>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</si>
  <si>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</si>
  <si>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</si>
  <si>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</si>
  <si>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</si>
  <si>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</si>
  <si>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</si>
  <si>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</si>
  <si>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</si>
  <si>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</si>
  <si>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</si>
  <si>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</si>
  <si>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</si>
  <si>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</si>
  <si>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</si>
  <si>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</si>
  <si>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</si>
  <si>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</si>
  <si>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</si>
  <si>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</si>
  <si>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</si>
  <si>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</si>
  <si>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</si>
  <si>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</si>
  <si>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</si>
  <si>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</si>
  <si>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</si>
  <si>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</si>
  <si>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</si>
  <si>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</si>
  <si>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</si>
  <si>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</si>
  <si>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</si>
  <si>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</si>
  <si>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</si>
  <si>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</si>
  <si>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</si>
  <si>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</si>
  <si>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</si>
  <si>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</si>
  <si>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</si>
  <si>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</si>
  <si>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</si>
  <si>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</si>
  <si>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</si>
  <si>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</si>
  <si>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</si>
  <si>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</si>
  <si>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</si>
  <si>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</si>
  <si>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</si>
  <si>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</si>
  <si>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</si>
  <si>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</si>
  <si>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</si>
  <si>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</si>
  <si>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</si>
  <si>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</si>
  <si>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</si>
  <si>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</si>
  <si>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</si>
  <si>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</si>
  <si>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</si>
  <si>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</si>
  <si>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</si>
  <si>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</si>
  <si>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</si>
  <si>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</si>
  <si>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</si>
  <si>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</si>
  <si>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</si>
  <si>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</si>
  <si>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</si>
  <si>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</si>
  <si>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</si>
  <si>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</si>
  <si>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</si>
  <si>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</si>
  <si>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</si>
  <si>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</si>
  <si>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</si>
  <si>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</si>
  <si>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</si>
  <si>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</si>
  <si>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</si>
  <si>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</si>
  <si>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</si>
  <si>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</si>
  <si>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</si>
  <si>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</si>
  <si>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</si>
  <si>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</si>
  <si>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</si>
  <si>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</si>
  <si>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</si>
  <si>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</si>
  <si>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</si>
  <si>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</si>
  <si>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</si>
  <si>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</si>
  <si>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</si>
  <si>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</si>
  <si>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</si>
  <si>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</si>
  <si>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</si>
  <si>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</si>
  <si>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</si>
  <si>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</si>
  <si>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</si>
  <si>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</si>
  <si>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</si>
  <si>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</si>
  <si>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</si>
  <si>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</si>
  <si>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</si>
  <si>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</si>
  <si>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</si>
  <si>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</si>
  <si>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</si>
  <si>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</si>
  <si>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</si>
  <si>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</si>
  <si>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</si>
  <si>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</si>
  <si>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</si>
  <si>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</si>
  <si>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</si>
  <si>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</si>
  <si>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</si>
  <si>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</si>
  <si>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</si>
  <si>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</si>
  <si>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</si>
  <si>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</si>
  <si>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</si>
  <si>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</si>
  <si>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MRPR Rel 5</t>
  </si>
  <si>
    <t>H3-1i</t>
  </si>
  <si>
    <t>D3a</t>
  </si>
  <si>
    <t>G4a, G3p, G2-1b</t>
  </si>
  <si>
    <t>MRPR52021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</si>
</sst>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0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0" fontId="8" fillId="35" borderId="0" xfId="1" applyFill="1"/>
    <xf numFmtId="0" fontId="1" fillId="35" borderId="0" xfId="46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26" xfId="1" applyFont="1" applyBorder="1"/>
    <xf numFmtId="0" fontId="8" fillId="0" borderId="25" xfId="1" applyBorder="1" applyAlignment="1">
      <alignment horizontal="center"/>
    </xf>
    <xf numFmtId="0" fontId="8" fillId="0" borderId="26" xfId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8" sqref="B8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3" t="s">
        <v>57</v>
      </c>
      <c r="B2" s="123"/>
      <c r="C2" s="123"/>
      <c r="D2" s="123"/>
      <c r="E2" s="123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25" t="s">
        <v>5401</v>
      </c>
      <c r="B22" s="125"/>
      <c r="C22" s="125"/>
      <c r="D22" s="125"/>
      <c r="E22" s="125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4" t="s">
        <v>5402</v>
      </c>
      <c r="B24" s="124"/>
      <c r="C24" s="124"/>
      <c r="D24" s="124"/>
      <c r="E24" s="124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24" t="s">
        <v>61</v>
      </c>
      <c r="B39" s="124"/>
      <c r="C39" s="124"/>
      <c r="D39" s="124"/>
      <c r="E39" s="124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24" t="s">
        <v>62</v>
      </c>
      <c r="B45" s="124"/>
      <c r="C45" s="124"/>
      <c r="D45" s="124"/>
      <c r="E45" s="124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4" t="s">
        <v>43</v>
      </c>
      <c r="B93" s="115"/>
      <c r="C93" s="116"/>
      <c r="D93" s="117" t="s">
        <v>44</v>
      </c>
      <c r="E93" s="118"/>
    </row>
    <row r="94" spans="1:5" x14ac:dyDescent="0.2">
      <c r="A94" s="73" t="s">
        <v>23</v>
      </c>
      <c r="B94" s="119" t="s">
        <v>30</v>
      </c>
      <c r="C94" s="120"/>
      <c r="D94" s="3" t="s">
        <v>46</v>
      </c>
      <c r="E94" s="9">
        <v>8</v>
      </c>
    </row>
    <row r="95" spans="1:5" x14ac:dyDescent="0.2">
      <c r="A95" s="73" t="s">
        <v>24</v>
      </c>
      <c r="B95" s="121" t="s">
        <v>31</v>
      </c>
      <c r="C95" s="122"/>
      <c r="D95" s="3" t="s">
        <v>47</v>
      </c>
      <c r="E95" s="9">
        <v>7</v>
      </c>
    </row>
    <row r="96" spans="1:5" x14ac:dyDescent="0.2">
      <c r="A96" s="73" t="s">
        <v>3</v>
      </c>
      <c r="B96" s="121" t="s">
        <v>32</v>
      </c>
      <c r="C96" s="122"/>
      <c r="D96" s="3" t="s">
        <v>48</v>
      </c>
      <c r="E96" s="9">
        <v>6</v>
      </c>
    </row>
    <row r="97" spans="1:5" x14ac:dyDescent="0.2">
      <c r="A97" s="73" t="s">
        <v>25</v>
      </c>
      <c r="B97" s="121" t="s">
        <v>33</v>
      </c>
      <c r="C97" s="122"/>
      <c r="D97" s="3" t="s">
        <v>49</v>
      </c>
      <c r="E97" s="9">
        <v>5</v>
      </c>
    </row>
    <row r="98" spans="1:5" x14ac:dyDescent="0.2">
      <c r="A98" s="73" t="s">
        <v>26</v>
      </c>
      <c r="B98" s="121" t="s">
        <v>34</v>
      </c>
      <c r="C98" s="122"/>
      <c r="D98" s="3" t="s">
        <v>50</v>
      </c>
      <c r="E98" s="9">
        <v>4</v>
      </c>
    </row>
    <row r="99" spans="1:5" x14ac:dyDescent="0.2">
      <c r="A99" s="73" t="s">
        <v>27</v>
      </c>
      <c r="B99" s="121" t="s">
        <v>35</v>
      </c>
      <c r="C99" s="122"/>
      <c r="D99" s="3" t="s">
        <v>4</v>
      </c>
      <c r="E99" s="9">
        <v>3</v>
      </c>
    </row>
    <row r="100" spans="1:5" x14ac:dyDescent="0.2">
      <c r="A100" s="73" t="s">
        <v>2</v>
      </c>
      <c r="B100" s="121" t="s">
        <v>36</v>
      </c>
      <c r="C100" s="122"/>
      <c r="D100" s="3" t="s">
        <v>5</v>
      </c>
      <c r="E100" s="9">
        <v>2</v>
      </c>
    </row>
    <row r="101" spans="1:5" x14ac:dyDescent="0.2">
      <c r="A101" s="73" t="s">
        <v>28</v>
      </c>
      <c r="B101" s="121" t="s">
        <v>37</v>
      </c>
      <c r="C101" s="122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8" t="s">
        <v>38</v>
      </c>
      <c r="C102" s="129"/>
      <c r="D102" s="5"/>
      <c r="E102" s="8"/>
    </row>
    <row r="103" spans="1:5" ht="13.2" thickBot="1" x14ac:dyDescent="0.25">
      <c r="A103" s="114" t="s">
        <v>68</v>
      </c>
      <c r="B103" s="115"/>
      <c r="C103" s="116"/>
      <c r="D103" s="117" t="s">
        <v>45</v>
      </c>
      <c r="E103" s="118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4" t="s">
        <v>21</v>
      </c>
      <c r="B112" s="115"/>
      <c r="C112" s="118"/>
    </row>
    <row r="113" spans="1:3" x14ac:dyDescent="0.2">
      <c r="A113" s="73">
        <v>1</v>
      </c>
      <c r="B113" s="119" t="s">
        <v>40</v>
      </c>
      <c r="C113" s="120"/>
    </row>
    <row r="114" spans="1:3" x14ac:dyDescent="0.2">
      <c r="A114" s="73" t="s">
        <v>39</v>
      </c>
      <c r="B114" s="121" t="s">
        <v>41</v>
      </c>
      <c r="C114" s="122"/>
    </row>
    <row r="115" spans="1:3" x14ac:dyDescent="0.2">
      <c r="A115" s="74" t="s">
        <v>15</v>
      </c>
      <c r="B115" s="126" t="s">
        <v>42</v>
      </c>
      <c r="C115" s="127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3" t="s">
        <v>127</v>
      </c>
      <c r="B1" s="123"/>
      <c r="C1" s="123"/>
      <c r="D1" s="123"/>
      <c r="E1" s="123"/>
      <c r="F1" s="123"/>
      <c r="G1" s="123"/>
      <c r="H1" s="14"/>
    </row>
    <row r="2" spans="1:14" x14ac:dyDescent="0.2">
      <c r="A2" s="132" t="s">
        <v>138</v>
      </c>
      <c r="B2" s="132"/>
      <c r="C2" s="15"/>
      <c r="D2" s="15"/>
      <c r="E2" s="15"/>
      <c r="F2" s="15"/>
      <c r="G2" s="15"/>
      <c r="H2" s="15"/>
    </row>
    <row r="3" spans="1:14" x14ac:dyDescent="0.2">
      <c r="A3" s="133" t="s">
        <v>52</v>
      </c>
      <c r="B3" s="133"/>
      <c r="C3" s="15"/>
      <c r="D3" s="15"/>
      <c r="E3" s="15"/>
      <c r="F3" s="15"/>
      <c r="G3" s="15"/>
      <c r="H3" s="15"/>
    </row>
    <row r="4" spans="1:14" x14ac:dyDescent="0.2">
      <c r="A4" s="133" t="s">
        <v>55</v>
      </c>
      <c r="B4" s="133"/>
      <c r="C4" s="15"/>
      <c r="D4" s="15"/>
      <c r="E4" s="15"/>
      <c r="F4" s="15"/>
      <c r="G4" s="15"/>
      <c r="H4" s="15"/>
    </row>
    <row r="5" spans="1:14" x14ac:dyDescent="0.2">
      <c r="A5" s="133" t="s">
        <v>51</v>
      </c>
      <c r="B5" s="133"/>
      <c r="C5" s="15"/>
      <c r="D5" s="15"/>
      <c r="E5" s="15"/>
      <c r="F5" s="15"/>
      <c r="G5" s="15"/>
      <c r="H5" s="15"/>
    </row>
    <row r="6" spans="1:14" x14ac:dyDescent="0.2">
      <c r="A6" s="130" t="s">
        <v>128</v>
      </c>
      <c r="B6" s="130"/>
    </row>
    <row r="7" spans="1:14" x14ac:dyDescent="0.2">
      <c r="A7" s="130" t="s">
        <v>129</v>
      </c>
      <c r="B7" s="130"/>
      <c r="C7" s="131"/>
      <c r="D7" s="131"/>
      <c r="E7" s="131"/>
      <c r="F7" s="131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2901" zoomScale="70" zoomScaleNormal="70" workbookViewId="0">
      <selection activeCell="A2923" sqref="A2923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4" t="s">
        <v>127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spans="1:15" x14ac:dyDescent="0.2">
      <c r="A2" s="89" t="s">
        <v>138</v>
      </c>
      <c r="B2" s="47"/>
      <c r="C2" s="46" t="s">
        <v>5443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5"/>
      <c r="C7" s="135"/>
      <c r="D7" s="135"/>
      <c r="E7" s="135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5441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0" t="s">
        <v>3858</v>
      </c>
      <c r="B12" s="44" t="str">
        <f>IF(LEN(VLOOKUP(A12,'Species List'!$A:$G,2,FALSE))=0,"",VLOOKUP(A12,'Species List'!$A:$G,2,FALSE))</f>
        <v>black raspberry</v>
      </c>
      <c r="C12" s="44">
        <f>IF(LEN(VLOOKUP(A12,'Species List'!$A:$G,3,FALSE))=0,"",VLOOKUP(A12,'Species List'!$A:$G,3,FALSE))</f>
        <v>2</v>
      </c>
      <c r="D12" s="103">
        <f>VALUE(C12)</f>
        <v>2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/>
      </c>
      <c r="H12" s="44">
        <f>VLOOKUP(A12,'Species List'!$A:$G,7,FALSE)</f>
        <v>0</v>
      </c>
      <c r="J12" s="95" t="s">
        <v>5420</v>
      </c>
      <c r="K12" s="47" t="str">
        <f>VLOOKUP(J12,'Species List'!$H$1:$J$9,2,FALSE)</f>
        <v>&gt;0-1%</v>
      </c>
      <c r="L12" s="47">
        <f>VLOOKUP(K12,'Species List'!$I$1:$N$8,2,FALSE)</f>
        <v>0.5</v>
      </c>
      <c r="M12" s="104">
        <f>VALUE(L12)</f>
        <v>0.5</v>
      </c>
      <c r="N12" s="88">
        <f t="shared" ref="N12:N75" si="0">L12/$L$151</f>
        <v>1</v>
      </c>
      <c r="O12" s="88">
        <f>D12*N12</f>
        <v>2</v>
      </c>
    </row>
    <row r="13" spans="1:15" x14ac:dyDescent="0.2">
      <c r="A13" s="105"/>
      <c r="B13" s="44" t="e">
        <f>IF(LEN(VLOOKUP(A13,'Species List'!$A:$G,2,FALSE))=0,"",VLOOKUP(A13,'Species List'!$A:$G,2,FALSE))</f>
        <v>#N/A</v>
      </c>
      <c r="C13" s="44" t="e">
        <f>IF(LEN(VLOOKUP(A13,'Species List'!$A:$G,3,FALSE))=0,"",VLOOKUP(A13,'Species List'!$A:$G,3,FALSE))</f>
        <v>#N/A</v>
      </c>
      <c r="D13" s="103" t="e">
        <f t="shared" ref="D13:D76" si="1">VALUE(C13)</f>
        <v>#N/A</v>
      </c>
      <c r="E13" s="44" t="e">
        <f>IF(LEN(VLOOKUP(A13,'Species List'!$A:$G,4,FALSE))=0,"",VLOOKUP(A13,'Species List'!$A:$G,4,FALSE))</f>
        <v>#N/A</v>
      </c>
      <c r="F13" s="44" t="e">
        <f>IF(LEN(VLOOKUP(A13,'Species List'!$A:$G,5,FALSE))=0,"",VLOOKUP(A13,'Species List'!$A:$G,5,FALSE))</f>
        <v>#N/A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95"/>
      <c r="K13" s="47" t="e">
        <f>VLOOKUP(J13,'Species List'!$H$1:$J$9,2,FALSE)</f>
        <v>#N/A</v>
      </c>
      <c r="L13" s="47" t="e">
        <f>VLOOKUP(K13,'Species List'!$I$1:$N$8,2,FALSE)</f>
        <v>#N/A</v>
      </c>
      <c r="M13" s="104" t="e">
        <f t="shared" ref="M13:M76" si="2">VALUE(L13)</f>
        <v>#N/A</v>
      </c>
      <c r="N13" s="88" t="e">
        <f t="shared" si="0"/>
        <v>#N/A</v>
      </c>
      <c r="O13" s="102" t="e">
        <f t="shared" ref="O13:O76" si="3">D13*N13</f>
        <v>#N/A</v>
      </c>
    </row>
    <row r="14" spans="1:15" x14ac:dyDescent="0.2">
      <c r="A14" s="105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103" t="e">
        <f t="shared" si="1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95"/>
      <c r="K14" s="47" t="e">
        <f>VLOOKUP(J14,'Species List'!$H$1:$J$9,2,FALSE)</f>
        <v>#N/A</v>
      </c>
      <c r="L14" s="47" t="e">
        <f>VLOOKUP(K14,'Species List'!$I$1:$N$8,2,FALSE)</f>
        <v>#N/A</v>
      </c>
      <c r="M14" s="104" t="e">
        <f t="shared" si="2"/>
        <v>#N/A</v>
      </c>
      <c r="N14" s="88" t="e">
        <f t="shared" si="0"/>
        <v>#N/A</v>
      </c>
      <c r="O14" s="102" t="e">
        <f t="shared" si="3"/>
        <v>#N/A</v>
      </c>
    </row>
    <row r="15" spans="1:15" x14ac:dyDescent="0.2">
      <c r="A15" s="10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2"/>
        <v>#N/A</v>
      </c>
      <c r="N15" s="88" t="e">
        <f t="shared" si="0"/>
        <v>#N/A</v>
      </c>
      <c r="O15" s="102" t="e">
        <f t="shared" si="3"/>
        <v>#N/A</v>
      </c>
    </row>
    <row r="16" spans="1:15" ht="14.4" x14ac:dyDescent="0.3">
      <c r="A16" s="106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88" t="e">
        <f t="shared" si="0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88" t="e">
        <f t="shared" si="0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88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si="1"/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88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1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88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1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88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1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88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1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88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1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88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1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88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1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88" t="e">
        <f t="shared" si="0"/>
        <v>#N/A</v>
      </c>
      <c r="O26" s="102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36" t="s">
        <v>5387</v>
      </c>
      <c r="J151" s="137"/>
      <c r="K151" s="138"/>
      <c r="L151" s="63">
        <f>SUMIF(L10:L150,"&gt;=0")</f>
        <v>0.5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10" workbookViewId="0">
      <selection activeCell="A29" sqref="A29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34" t="s">
        <v>127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5"/>
      <c r="C7" s="135"/>
      <c r="D7" s="135"/>
      <c r="E7" s="135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5440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0" t="s">
        <v>4169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</v>
      </c>
      <c r="H12" s="44">
        <f>VLOOKUP(A12,'Species List'!$A:$G,7,FALSE)</f>
        <v>0</v>
      </c>
      <c r="J12" s="112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2.7777777777777776E-2</v>
      </c>
      <c r="O12" s="88">
        <f>D12*N12</f>
        <v>0.1111111111111111</v>
      </c>
    </row>
    <row r="13" spans="1:15" x14ac:dyDescent="0.2">
      <c r="A13" s="110" t="s">
        <v>2353</v>
      </c>
      <c r="B13" s="44" t="str">
        <f>IF(LEN(VLOOKUP(A13,'Species List'!$A:$G,2,FALSE))=0,"",VLOOKUP(A13,'Species List'!$A:$G,2,FALSE))</f>
        <v/>
      </c>
      <c r="C13" s="44">
        <f>IF(LEN(VLOOKUP(A13,'Species List'!$A:$G,3,FALSE))=0,"",VLOOKUP(A13,'Species List'!$A:$G,3,FALSE))</f>
        <v>5</v>
      </c>
      <c r="D13" s="103">
        <f t="shared" ref="D13:D76" si="0">VALUE(C13)</f>
        <v>5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2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2.7777777777777776E-2</v>
      </c>
      <c r="O13" s="102">
        <f t="shared" ref="O13:O76" si="3">D13*N13</f>
        <v>0.1388888888888889</v>
      </c>
    </row>
    <row r="14" spans="1:15" x14ac:dyDescent="0.2">
      <c r="A14" s="110" t="s">
        <v>3753</v>
      </c>
      <c r="B14" s="44" t="str">
        <f>IF(LEN(VLOOKUP(A14,'Species List'!$A:$G,2,FALSE))=0,"",VLOOKUP(A14,'Species List'!$A:$G,2,FALSE))</f>
        <v>gray-headed coneflower</v>
      </c>
      <c r="C14" s="44">
        <f>IF(LEN(VLOOKUP(A14,'Species List'!$A:$G,3,FALSE))=0,"",VLOOKUP(A14,'Species List'!$A:$G,3,FALSE))</f>
        <v>4</v>
      </c>
      <c r="D14" s="103">
        <f t="shared" si="0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/>
      </c>
      <c r="H14" s="44">
        <f>VLOOKUP(A14,'Species List'!$A:$G,7,FALSE)</f>
        <v>0</v>
      </c>
      <c r="J14" s="112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1"/>
        <v>15</v>
      </c>
      <c r="N14" s="102">
        <f t="shared" si="2"/>
        <v>0.1388888888888889</v>
      </c>
      <c r="O14" s="102">
        <f t="shared" si="3"/>
        <v>0.55555555555555558</v>
      </c>
    </row>
    <row r="15" spans="1:15" x14ac:dyDescent="0.2">
      <c r="A15" s="110" t="s">
        <v>1373</v>
      </c>
      <c r="B15" s="44" t="str">
        <f>IF(LEN(VLOOKUP(A15,'Species List'!$A:$G,2,FALSE))=0,"",VLOOKUP(A15,'Species List'!$A:$G,2,FALSE))</f>
        <v>Canada thistle</v>
      </c>
      <c r="C15" s="44">
        <f>IF(LEN(VLOOKUP(A15,'Species List'!$A:$G,3,FALSE))=0,"",VLOOKUP(A15,'Species List'!$A:$G,3,FALSE))</f>
        <v>0</v>
      </c>
      <c r="D15" s="103">
        <f t="shared" si="0"/>
        <v>0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112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2.7777777777777776E-2</v>
      </c>
      <c r="O15" s="102">
        <f t="shared" si="3"/>
        <v>0</v>
      </c>
    </row>
    <row r="16" spans="1:15" x14ac:dyDescent="0.2">
      <c r="A16" s="110" t="s">
        <v>4213</v>
      </c>
      <c r="B16" s="44" t="str">
        <f>IF(LEN(VLOOKUP(A16,'Species List'!$A:$G,2,FALSE))=0,"",VLOOKUP(A16,'Species List'!$A:$G,2,FALSE))</f>
        <v>late goldenrod</v>
      </c>
      <c r="C16" s="44">
        <v>1</v>
      </c>
      <c r="D16" s="103">
        <f t="shared" si="0"/>
        <v>1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113">
        <v>3</v>
      </c>
      <c r="K16" s="47" t="str">
        <f>VLOOKUP(J16,'Species List'!$H$1:$J$9,2,FALSE)</f>
        <v>&gt;25-50%</v>
      </c>
      <c r="L16" s="47">
        <f>VLOOKUP(K16,'Species List'!$I$1:$N$8,2,FALSE)</f>
        <v>37.5</v>
      </c>
      <c r="M16" s="104">
        <f t="shared" si="1"/>
        <v>37.5</v>
      </c>
      <c r="N16" s="102">
        <f t="shared" si="2"/>
        <v>0.34722222222222221</v>
      </c>
      <c r="O16" s="102">
        <f t="shared" si="3"/>
        <v>0.34722222222222221</v>
      </c>
    </row>
    <row r="17" spans="1:15" x14ac:dyDescent="0.2">
      <c r="A17" s="110" t="s">
        <v>4240</v>
      </c>
      <c r="B17" s="44" t="str">
        <f>IF(LEN(VLOOKUP(A17,'Species List'!$A:$G,2,FALSE))=0,"",VLOOKUP(A17,'Species List'!$A:$G,2,FALSE))</f>
        <v>stiff goldenrod</v>
      </c>
      <c r="C17" s="44">
        <f>IF(LEN(VLOOKUP(A17,'Species List'!$A:$G,3,FALSE))=0,"",VLOOKUP(A17,'Species List'!$A:$G,3,FALSE))</f>
        <v>5</v>
      </c>
      <c r="D17" s="103">
        <f t="shared" si="0"/>
        <v>5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113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2.7777777777777776E-2</v>
      </c>
      <c r="O17" s="102">
        <f t="shared" si="3"/>
        <v>0.1388888888888889</v>
      </c>
    </row>
    <row r="18" spans="1:15" x14ac:dyDescent="0.2">
      <c r="A18" s="110" t="s">
        <v>3882</v>
      </c>
      <c r="B18" s="44" t="str">
        <f>IF(LEN(VLOOKUP(A18,'Species List'!$A:$G,2,FALSE))=0,"",VLOOKUP(A18,'Species List'!$A:$G,2,FALSE))</f>
        <v>black-eyed susan</v>
      </c>
      <c r="C18" s="44">
        <f>IF(LEN(VLOOKUP(A18,'Species List'!$A:$G,3,FALSE))=0,"",VLOOKUP(A18,'Species List'!$A:$G,3,FALSE))</f>
        <v>4</v>
      </c>
      <c r="D18" s="103">
        <f t="shared" si="0"/>
        <v>4</v>
      </c>
      <c r="E18" s="44" t="str">
        <f>IF(LEN(VLOOKUP(A18,'Species List'!$A:$G,4,FALSE))=0,"",VLOOKUP(A18,'Species List'!$A:$G,4,FALSE))</f>
        <v/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2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2.7777777777777776E-2</v>
      </c>
      <c r="O18" s="102">
        <f t="shared" si="3"/>
        <v>0.1111111111111111</v>
      </c>
    </row>
    <row r="19" spans="1:15" x14ac:dyDescent="0.2">
      <c r="A19" s="111" t="s">
        <v>4469</v>
      </c>
      <c r="B19" s="44" t="str">
        <f>IF(LEN(VLOOKUP(A19,'Species List'!$A:$G,2,FALSE))=0,"",VLOOKUP(A19,'Species List'!$A:$G,2,FALSE))</f>
        <v>common dandelion</v>
      </c>
      <c r="C19" s="44">
        <f>IF(LEN(VLOOKUP(A19,'Species List'!$A:$G,3,FALSE))=0,"",VLOOKUP(A19,'Species List'!$A:$G,3,FALSE))</f>
        <v>0</v>
      </c>
      <c r="D19" s="103">
        <f t="shared" si="0"/>
        <v>0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112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2.7777777777777776E-2</v>
      </c>
      <c r="O19" s="102">
        <f t="shared" si="3"/>
        <v>0</v>
      </c>
    </row>
    <row r="20" spans="1:15" x14ac:dyDescent="0.2">
      <c r="A20" s="111" t="s">
        <v>4222</v>
      </c>
      <c r="B20" s="44" t="str">
        <f>IF(LEN(VLOOKUP(A20,'Species List'!$A:$G,2,FALSE))=0,"",VLOOKUP(A20,'Species List'!$A:$G,2,FALSE))</f>
        <v>giant goldenrod</v>
      </c>
      <c r="C20" s="44">
        <f>IF(LEN(VLOOKUP(A20,'Species List'!$A:$G,3,FALSE))=0,"",VLOOKUP(A20,'Species List'!$A:$G,3,FALSE))</f>
        <v>3</v>
      </c>
      <c r="D20" s="103">
        <f t="shared" si="0"/>
        <v>3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12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2.7777777777777776E-2</v>
      </c>
      <c r="O20" s="102">
        <f t="shared" si="3"/>
        <v>8.3333333333333329E-2</v>
      </c>
    </row>
    <row r="21" spans="1:15" x14ac:dyDescent="0.2">
      <c r="A21" s="110" t="s">
        <v>2947</v>
      </c>
      <c r="B21" s="44" t="str">
        <f>IF(LEN(VLOOKUP(A21,'Species List'!$A:$G,2,FALSE))=0,"",VLOOKUP(A21,'Species List'!$A:$G,2,FALSE))</f>
        <v>wild bergamot</v>
      </c>
      <c r="C21" s="44">
        <f>IF(LEN(VLOOKUP(A21,'Species List'!$A:$G,3,FALSE))=0,"",VLOOKUP(A21,'Species List'!$A:$G,3,FALSE))</f>
        <v>3</v>
      </c>
      <c r="D21" s="103">
        <f t="shared" si="0"/>
        <v>3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112">
        <v>1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2.7777777777777776E-2</v>
      </c>
      <c r="O21" s="102">
        <f t="shared" si="3"/>
        <v>8.3333333333333329E-2</v>
      </c>
    </row>
    <row r="22" spans="1:15" x14ac:dyDescent="0.2">
      <c r="A22" s="110" t="s">
        <v>519</v>
      </c>
      <c r="B22" s="44" t="str">
        <f>IF(LEN(VLOOKUP(A22,'Species List'!$A:$G,2,FALSE))=0,"",VLOOKUP(A22,'Species List'!$A:$G,2,FALSE))</f>
        <v/>
      </c>
      <c r="C22" s="44">
        <f>IF(LEN(VLOOKUP(A22,'Species List'!$A:$G,3,FALSE))=0,"",VLOOKUP(A22,'Species List'!$A:$G,3,FALSE))</f>
        <v>3</v>
      </c>
      <c r="D22" s="103">
        <f t="shared" si="0"/>
        <v>3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UPL</v>
      </c>
      <c r="H22" s="44">
        <f>VLOOKUP(A22,'Species List'!$A:$G,7,FALSE)</f>
        <v>0</v>
      </c>
      <c r="J22" s="112">
        <v>1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2.7777777777777776E-2</v>
      </c>
      <c r="O22" s="102">
        <f t="shared" si="3"/>
        <v>8.3333333333333329E-2</v>
      </c>
    </row>
    <row r="23" spans="1:15" x14ac:dyDescent="0.2">
      <c r="A23" s="110" t="s">
        <v>1284</v>
      </c>
      <c r="B23" s="44" t="str">
        <f>IF(LEN(VLOOKUP(A23,'Species List'!$A:$G,2,FALSE))=0,"",VLOOKUP(A23,'Species List'!$A:$G,2,FALSE))</f>
        <v>partridge pea</v>
      </c>
      <c r="C23" s="44">
        <f>IF(LEN(VLOOKUP(A23,'Species List'!$A:$G,3,FALSE))=0,"",VLOOKUP(A23,'Species List'!$A:$G,3,FALSE))</f>
        <v>2</v>
      </c>
      <c r="D23" s="103">
        <f t="shared" si="0"/>
        <v>2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[FACU-]</v>
      </c>
      <c r="H23" s="44">
        <f>VLOOKUP(A23,'Species List'!$A:$G,7,FALSE)</f>
        <v>0</v>
      </c>
      <c r="J23" s="112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1"/>
        <v>0.5</v>
      </c>
      <c r="N23" s="102">
        <f t="shared" si="2"/>
        <v>4.6296296296296294E-3</v>
      </c>
      <c r="O23" s="102">
        <f t="shared" si="3"/>
        <v>9.2592592592592587E-3</v>
      </c>
    </row>
    <row r="24" spans="1:15" x14ac:dyDescent="0.2">
      <c r="A24" s="110" t="s">
        <v>552</v>
      </c>
      <c r="B24" s="44" t="str">
        <f>IF(LEN(VLOOKUP(A24,'Species List'!$A:$G,2,FALSE))=0,"",VLOOKUP(A24,'Species List'!$A:$G,2,FALSE))</f>
        <v>common milkweed</v>
      </c>
      <c r="C24" s="44">
        <f>IF(LEN(VLOOKUP(A24,'Species List'!$A:$G,3,FALSE))=0,"",VLOOKUP(A24,'Species List'!$A:$G,3,FALSE))</f>
        <v>1</v>
      </c>
      <c r="D24" s="103">
        <f t="shared" si="0"/>
        <v>1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112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2.7777777777777776E-2</v>
      </c>
      <c r="O24" s="102">
        <f t="shared" si="3"/>
        <v>2.7777777777777776E-2</v>
      </c>
    </row>
    <row r="25" spans="1:15" x14ac:dyDescent="0.2">
      <c r="A25" s="110" t="s">
        <v>4436</v>
      </c>
      <c r="B25" s="44" t="str">
        <f>IF(LEN(VLOOKUP(A25,'Species List'!$A:$G,2,FALSE))=0,"",VLOOKUP(A25,'Species List'!$A:$G,2,FALSE))</f>
        <v>awl aster</v>
      </c>
      <c r="C25" s="44">
        <f>IF(LEN(VLOOKUP(A25,'Species List'!$A:$G,3,FALSE))=0,"",VLOOKUP(A25,'Species List'!$A:$G,3,FALSE))</f>
        <v>1</v>
      </c>
      <c r="D25" s="103">
        <f t="shared" si="0"/>
        <v>1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FACU</v>
      </c>
      <c r="H25" s="44" t="str">
        <f>VLOOKUP(A25,'Species List'!$A:$G,7,FALSE)</f>
        <v>W</v>
      </c>
      <c r="J25" s="112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2.7777777777777776E-2</v>
      </c>
      <c r="O25" s="102">
        <f t="shared" si="3"/>
        <v>2.7777777777777776E-2</v>
      </c>
    </row>
    <row r="26" spans="1:15" x14ac:dyDescent="0.2">
      <c r="A26" s="110" t="s">
        <v>3343</v>
      </c>
      <c r="B26" s="44" t="str">
        <f>IF(LEN(VLOOKUP(A26,'Species List'!$A:$G,2,FALSE))=0,"",VLOOKUP(A26,'Species List'!$A:$G,2,FALSE))</f>
        <v/>
      </c>
      <c r="C26" s="44">
        <f>IF(LEN(VLOOKUP(A26,'Species List'!$A:$G,3,FALSE))=0,"",VLOOKUP(A26,'Species List'!$A:$G,3,FALSE))</f>
        <v>7</v>
      </c>
      <c r="D26" s="103">
        <f t="shared" si="0"/>
        <v>7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FACW</v>
      </c>
      <c r="H26" s="44">
        <f>VLOOKUP(A26,'Species List'!$A:$G,7,FALSE)</f>
        <v>0</v>
      </c>
      <c r="J26" s="112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2.7777777777777776E-2</v>
      </c>
      <c r="O26" s="102">
        <f t="shared" si="3"/>
        <v>0.19444444444444442</v>
      </c>
    </row>
    <row r="27" spans="1:15" x14ac:dyDescent="0.2">
      <c r="A27" s="110" t="s">
        <v>3241</v>
      </c>
      <c r="B27" s="44" t="str">
        <f>IF(LEN(VLOOKUP(A27,'Species List'!$A:$G,2,FALSE))=0,"",VLOOKUP(A27,'Species List'!$A:$G,2,FALSE))</f>
        <v>foxglove beard tongue</v>
      </c>
      <c r="C27" s="44">
        <f>IF(LEN(VLOOKUP(A27,'Species List'!$A:$G,3,FALSE))=0,"",VLOOKUP(A27,'Species List'!$A:$G,3,FALSE))</f>
        <v>0</v>
      </c>
      <c r="D27" s="103">
        <f t="shared" si="0"/>
        <v>0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>FAC-</v>
      </c>
      <c r="H27" s="44" t="str">
        <f>VLOOKUP(A27,'Species List'!$A:$G,7,FALSE)</f>
        <v>W</v>
      </c>
      <c r="J27" s="112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2.7777777777777776E-2</v>
      </c>
      <c r="O27" s="102">
        <f t="shared" si="3"/>
        <v>0</v>
      </c>
    </row>
    <row r="28" spans="1:15" x14ac:dyDescent="0.2">
      <c r="A28" s="110" t="s">
        <v>1440</v>
      </c>
      <c r="B28" s="44" t="str">
        <f>IF(LEN(VLOOKUP(A28,'Species List'!$A:$G,2,FALSE))=0,"",VLOOKUP(A28,'Species List'!$A:$G,2,FALSE))</f>
        <v>bird's foot coreopsis</v>
      </c>
      <c r="C28" s="44">
        <f>IF(LEN(VLOOKUP(A28,'Species List'!$A:$G,3,FALSE))=0,"",VLOOKUP(A28,'Species List'!$A:$G,3,FALSE))</f>
        <v>8</v>
      </c>
      <c r="D28" s="103">
        <f t="shared" si="0"/>
        <v>8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2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2.7777777777777776E-2</v>
      </c>
      <c r="O28" s="102">
        <f t="shared" si="3"/>
        <v>0.22222222222222221</v>
      </c>
    </row>
    <row r="29" spans="1:15" x14ac:dyDescent="0.2">
      <c r="A29" s="110" t="s">
        <v>324</v>
      </c>
      <c r="B29" s="44" t="str">
        <f>IF(LEN(VLOOKUP(A29,'Species List'!$A:$G,2,FALSE))=0,"",VLOOKUP(A29,'Species List'!$A:$G,2,FALSE))</f>
        <v>great ragweed</v>
      </c>
      <c r="C29" s="44">
        <f>IF(LEN(VLOOKUP(A29,'Species List'!$A:$G,3,FALSE))=0,"",VLOOKUP(A29,'Species List'!$A:$G,3,FALSE))</f>
        <v>0</v>
      </c>
      <c r="D29" s="103">
        <f t="shared" si="0"/>
        <v>0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[FAC+]</v>
      </c>
      <c r="H29" s="44">
        <f>VLOOKUP(A29,'Species List'!$A:$G,7,FALSE)</f>
        <v>0</v>
      </c>
      <c r="J29" s="112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2.7777777777777776E-2</v>
      </c>
      <c r="O29" s="102">
        <f t="shared" si="3"/>
        <v>0</v>
      </c>
    </row>
    <row r="30" spans="1:15" x14ac:dyDescent="0.2">
      <c r="A30" s="110" t="s">
        <v>4427</v>
      </c>
      <c r="B30" s="44" t="str">
        <f>IF(LEN(VLOOKUP(A30,'Species List'!$A:$G,2,FALSE))=0,"",VLOOKUP(A30,'Species List'!$A:$G,2,FALSE))</f>
        <v>New England aster</v>
      </c>
      <c r="C30" s="44">
        <f>IF(LEN(VLOOKUP(A30,'Species List'!$A:$G,3,FALSE))=0,"",VLOOKUP(A30,'Species List'!$A:$G,3,FALSE))</f>
        <v>3</v>
      </c>
      <c r="D30" s="103">
        <f t="shared" si="0"/>
        <v>3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[FACW]</v>
      </c>
      <c r="H30" s="44">
        <f>VLOOKUP(A30,'Species List'!$A:$G,7,FALSE)</f>
        <v>0</v>
      </c>
      <c r="J30" s="112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2.7777777777777776E-2</v>
      </c>
      <c r="O30" s="102">
        <f t="shared" si="3"/>
        <v>8.3333333333333329E-2</v>
      </c>
    </row>
    <row r="31" spans="1:15" x14ac:dyDescent="0.2">
      <c r="A31" s="110" t="s">
        <v>4168</v>
      </c>
      <c r="B31" s="44" t="str">
        <f>IF(LEN(VLOOKUP(A31,'Species List'!$A:$G,2,FALSE))=0,"",VLOOKUP(A31,'Species List'!$A:$G,2,FALSE))</f>
        <v>compass plant</v>
      </c>
      <c r="C31" s="44">
        <f>IF(LEN(VLOOKUP(A31,'Species List'!$A:$G,3,FALSE))=0,"",VLOOKUP(A31,'Species List'!$A:$G,3,FALSE))</f>
        <v>8</v>
      </c>
      <c r="D31" s="103">
        <f t="shared" si="0"/>
        <v>8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/>
      </c>
      <c r="H31" s="44">
        <f>VLOOKUP(A31,'Species List'!$A:$G,7,FALSE)</f>
        <v>0</v>
      </c>
      <c r="J31" s="112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1"/>
        <v>0.5</v>
      </c>
      <c r="N31" s="102">
        <f t="shared" si="2"/>
        <v>4.6296296296296294E-3</v>
      </c>
      <c r="O31" s="102">
        <f t="shared" si="3"/>
        <v>3.7037037037037035E-2</v>
      </c>
    </row>
    <row r="32" spans="1:15" ht="13.2" x14ac:dyDescent="0.25">
      <c r="A32" s="36" t="s">
        <v>4559</v>
      </c>
      <c r="B32" s="44" t="str">
        <f>IF(LEN(VLOOKUP(A32,'Species List'!$A:$G,2,FALSE))=0,"",VLOOKUP(A32,'Species List'!$A:$G,2,FALSE))</f>
        <v>white clover</v>
      </c>
      <c r="C32" s="44">
        <f>IF(LEN(VLOOKUP(A32,'Species List'!$A:$G,3,FALSE))=0,"",VLOOKUP(A32,'Species List'!$A:$G,3,FALSE))</f>
        <v>0</v>
      </c>
      <c r="D32" s="103">
        <f t="shared" si="0"/>
        <v>0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Introduced</v>
      </c>
      <c r="G32" s="44" t="str">
        <f>IF(LEN(VLOOKUP(A32,'Species List'!$A:$G,6,FALSE))=0,"",VLOOKUP(A32,'Species List'!$A:$G,6,FALSE))</f>
        <v>FACU+</v>
      </c>
      <c r="H32" s="44">
        <f>VLOOKUP(A32,'Species List'!$A:$G,7,FALSE)</f>
        <v>0</v>
      </c>
      <c r="J32" s="112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2.7777777777777776E-2</v>
      </c>
      <c r="O32" s="102">
        <f t="shared" si="3"/>
        <v>0</v>
      </c>
    </row>
    <row r="33" spans="1:15" x14ac:dyDescent="0.2">
      <c r="A33" s="110" t="s">
        <v>3393</v>
      </c>
      <c r="B33" s="44" t="str">
        <f>IF(LEN(VLOOKUP(A33,'Species List'!$A:$G,2,FALSE))=0,"",VLOOKUP(A33,'Species List'!$A:$G,2,FALSE))</f>
        <v>Rugel's plantain</v>
      </c>
      <c r="C33" s="44">
        <f>IF(LEN(VLOOKUP(A33,'Species List'!$A:$G,3,FALSE))=0,"",VLOOKUP(A33,'Species List'!$A:$G,3,FALSE))</f>
        <v>0</v>
      </c>
      <c r="D33" s="103">
        <f t="shared" si="0"/>
        <v>0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[FAC]</v>
      </c>
      <c r="H33" s="44">
        <f>VLOOKUP(A33,'Species List'!$A:$G,7,FALSE)</f>
        <v>0</v>
      </c>
      <c r="J33" s="112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2.7777777777777776E-2</v>
      </c>
      <c r="O33" s="102">
        <f t="shared" si="3"/>
        <v>0</v>
      </c>
    </row>
    <row r="34" spans="1:15" x14ac:dyDescent="0.2">
      <c r="A34" s="110" t="s">
        <v>3623</v>
      </c>
      <c r="B34" s="44" t="str">
        <f>IF(LEN(VLOOKUP(A34,'Species List'!$A:$G,2,FALSE))=0,"",VLOOKUP(A34,'Species List'!$A:$G,2,FALSE))</f>
        <v>rough-fruited cinquefoil</v>
      </c>
      <c r="C34" s="44">
        <f>IF(LEN(VLOOKUP(A34,'Species List'!$A:$G,3,FALSE))=0,"",VLOOKUP(A34,'Species List'!$A:$G,3,FALSE))</f>
        <v>0</v>
      </c>
      <c r="D34" s="103">
        <f t="shared" si="0"/>
        <v>0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Introduced</v>
      </c>
      <c r="G34" s="44" t="str">
        <f>IF(LEN(VLOOKUP(A34,'Species List'!$A:$G,6,FALSE))=0,"",VLOOKUP(A34,'Species List'!$A:$G,6,FALSE))</f>
        <v/>
      </c>
      <c r="H34" s="44">
        <f>VLOOKUP(A34,'Species List'!$A:$G,7,FALSE)</f>
        <v>0</v>
      </c>
      <c r="J34" s="112" t="s">
        <v>5420</v>
      </c>
      <c r="K34" s="47" t="str">
        <f>VLOOKUP(J34,'Species List'!$H$1:$J$9,2,FALSE)</f>
        <v>&gt;0-1%</v>
      </c>
      <c r="L34" s="47">
        <f>VLOOKUP(K34,'Species List'!$I$1:$N$8,2,FALSE)</f>
        <v>0.5</v>
      </c>
      <c r="M34" s="104">
        <f t="shared" si="1"/>
        <v>0.5</v>
      </c>
      <c r="N34" s="102">
        <f t="shared" si="2"/>
        <v>4.6296296296296294E-3</v>
      </c>
      <c r="O34" s="102">
        <f t="shared" si="3"/>
        <v>0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36" t="s">
        <v>5387</v>
      </c>
      <c r="J151" s="137"/>
      <c r="K151" s="138"/>
      <c r="L151" s="63">
        <f>SUMIF(L10:L150,"&gt;=0")</f>
        <v>108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J23" sqref="J23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34" t="s">
        <v>127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5"/>
      <c r="C7" s="135"/>
      <c r="D7" s="135"/>
      <c r="E7" s="135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5442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0" t="s">
        <v>4119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0</v>
      </c>
      <c r="D12" s="103">
        <f>VALUE(C12)</f>
        <v>0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Introduced</v>
      </c>
      <c r="G12" s="44" t="str">
        <f>IF(LEN(VLOOKUP(A12,'Species List'!$A:$G,6,FALSE))=0,"",VLOOKUP(A12,'Species List'!$A:$G,6,FALSE))</f>
        <v>FAC</v>
      </c>
      <c r="H12" s="44">
        <f>VLOOKUP(A12,'Species List'!$A:$G,7,FALSE)</f>
        <v>0</v>
      </c>
      <c r="J12" s="95">
        <v>1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3.9473684210526314E-2</v>
      </c>
      <c r="O12" s="31">
        <f>D12*N12</f>
        <v>0</v>
      </c>
    </row>
    <row r="13" spans="1:15" x14ac:dyDescent="0.2">
      <c r="A13" s="110" t="s">
        <v>1893</v>
      </c>
      <c r="B13" s="44" t="str">
        <f>IF(LEN(VLOOKUP(A13,'Species List'!$A:$G,2,FALSE))=0,"",VLOOKUP(A13,'Species List'!$A:$G,2,FALSE))</f>
        <v>Virginia wildrye</v>
      </c>
      <c r="C13" s="44">
        <f>IF(LEN(VLOOKUP(A13,'Species List'!$A:$G,3,FALSE))=0,"",VLOOKUP(A13,'Species List'!$A:$G,3,FALSE))</f>
        <v>4</v>
      </c>
      <c r="D13" s="103">
        <f t="shared" ref="D13:D18" si="1">VALUE(C13)</f>
        <v>4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FACW-</v>
      </c>
      <c r="H13" s="44">
        <f>VLOOKUP(A13,'Species List'!$A:$G,7,FALSE)</f>
        <v>0</v>
      </c>
      <c r="J13" s="95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3.9473684210526314E-2</v>
      </c>
      <c r="O13" s="102">
        <f t="shared" ref="O13:O76" si="3">D13*N13</f>
        <v>0.15789473684210525</v>
      </c>
    </row>
    <row r="14" spans="1:15" x14ac:dyDescent="0.2">
      <c r="A14" s="110" t="s">
        <v>3445</v>
      </c>
      <c r="B14" s="44" t="str">
        <f>IF(LEN(VLOOKUP(A14,'Species List'!$A:$G,2,FALSE))=0,"",VLOOKUP(A14,'Species List'!$A:$G,2,FALSE))</f>
        <v>Kentucky bluegrass</v>
      </c>
      <c r="C14" s="44">
        <f>IF(LEN(VLOOKUP(A14,'Species List'!$A:$G,3,FALSE))=0,"",VLOOKUP(A14,'Species List'!$A:$G,3,FALSE))</f>
        <v>0</v>
      </c>
      <c r="D14" s="103">
        <f t="shared" si="1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J14" s="95">
        <v>1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3.9473684210526314E-2</v>
      </c>
      <c r="O14" s="102">
        <f t="shared" si="3"/>
        <v>0</v>
      </c>
    </row>
    <row r="15" spans="1:15" x14ac:dyDescent="0.2">
      <c r="A15" s="110" t="s">
        <v>4035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5</v>
      </c>
      <c r="D15" s="103">
        <f t="shared" si="1"/>
        <v>5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[FACU-]</v>
      </c>
      <c r="H15" s="44">
        <f>VLOOKUP(A15,'Species List'!$A:$G,7,FALSE)</f>
        <v>0</v>
      </c>
      <c r="J15" s="95" t="s">
        <v>5420</v>
      </c>
      <c r="K15" s="47" t="str">
        <f>VLOOKUP(J15,'Species List'!$H$1:$J$9,2,FALSE)</f>
        <v>&gt;0-1%</v>
      </c>
      <c r="L15" s="47">
        <f>VLOOKUP(K15,'Species List'!$I$1:$N$8,2,FALSE)</f>
        <v>0.5</v>
      </c>
      <c r="M15" s="104">
        <f t="shared" si="2"/>
        <v>0.5</v>
      </c>
      <c r="N15" s="102">
        <f t="shared" si="0"/>
        <v>6.5789473684210523E-3</v>
      </c>
      <c r="O15" s="102">
        <f t="shared" si="3"/>
        <v>3.2894736842105261E-2</v>
      </c>
    </row>
    <row r="16" spans="1:15" x14ac:dyDescent="0.2">
      <c r="A16" s="110" t="s">
        <v>4293</v>
      </c>
      <c r="B16" s="44" t="str">
        <f>IF(LEN(VLOOKUP(A16,'Species List'!$A:$G,2,FALSE))=0,"",VLOOKUP(A16,'Species List'!$A:$G,2,FALSE))</f>
        <v>prairie cordgrass</v>
      </c>
      <c r="C16" s="44">
        <f>IF(LEN(VLOOKUP(A16,'Species List'!$A:$G,3,FALSE))=0,"",VLOOKUP(A16,'Species List'!$A:$G,3,FALSE))</f>
        <v>5</v>
      </c>
      <c r="D16" s="103">
        <f t="shared" si="1"/>
        <v>5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FACW+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3.9473684210526314E-2</v>
      </c>
      <c r="O16" s="102">
        <f t="shared" si="3"/>
        <v>0.19736842105263158</v>
      </c>
    </row>
    <row r="17" spans="1:15" x14ac:dyDescent="0.2">
      <c r="A17" s="110" t="s">
        <v>3198</v>
      </c>
      <c r="B17" s="44" t="str">
        <f>IF(LEN(VLOOKUP(A17,'Species List'!$A:$G,2,FALSE))=0,"",VLOOKUP(A17,'Species List'!$A:$G,2,FALSE))</f>
        <v>switchgrass</v>
      </c>
      <c r="C17" s="44">
        <f>IF(LEN(VLOOKUP(A17,'Species List'!$A:$G,3,FALSE))=0,"",VLOOKUP(A17,'Species List'!$A:$G,3,FALSE))</f>
        <v>2</v>
      </c>
      <c r="D17" s="103">
        <f t="shared" si="1"/>
        <v>2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[FAC+]</v>
      </c>
      <c r="H17" s="44">
        <f>VLOOKUP(A17,'Species List'!$A:$G,7,FALSE)</f>
        <v>0</v>
      </c>
      <c r="J17" s="95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3.9473684210526314E-2</v>
      </c>
      <c r="O17" s="102">
        <f t="shared" si="3"/>
        <v>7.8947368421052627E-2</v>
      </c>
    </row>
    <row r="18" spans="1:15" x14ac:dyDescent="0.2">
      <c r="A18" s="110" t="s">
        <v>4273</v>
      </c>
      <c r="B18" s="44" t="str">
        <f>IF(LEN(VLOOKUP(A18,'Species List'!$A:$G,2,FALSE))=0,"",VLOOKUP(A18,'Species List'!$A:$G,2,FALSE))</f>
        <v>Indian grass</v>
      </c>
      <c r="C18" s="44">
        <f>IF(LEN(VLOOKUP(A18,'Species List'!$A:$G,3,FALSE))=0,"",VLOOKUP(A18,'Species List'!$A:$G,3,FALSE))</f>
        <v>5</v>
      </c>
      <c r="D18" s="103">
        <f t="shared" si="1"/>
        <v>5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FACU+</v>
      </c>
      <c r="H18" s="44">
        <f>VLOOKUP(A18,'Species List'!$A:$G,7,FALSE)</f>
        <v>0</v>
      </c>
      <c r="J18" s="95">
        <v>2</v>
      </c>
      <c r="K18" s="47" t="str">
        <f>VLOOKUP(J18,'Species List'!$H$1:$J$9,2,FALSE)</f>
        <v>&gt;5-25%</v>
      </c>
      <c r="L18" s="47">
        <f>VLOOKUP(K18,'Species List'!$I$1:$N$8,2,FALSE)</f>
        <v>15</v>
      </c>
      <c r="M18" s="104">
        <f t="shared" si="2"/>
        <v>15</v>
      </c>
      <c r="N18" s="102">
        <f t="shared" si="0"/>
        <v>0.19736842105263158</v>
      </c>
      <c r="O18" s="102">
        <f t="shared" si="3"/>
        <v>0.98684210526315796</v>
      </c>
    </row>
    <row r="19" spans="1:15" x14ac:dyDescent="0.2">
      <c r="A19" s="110" t="s">
        <v>1873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3</v>
      </c>
      <c r="D19" s="103">
        <f t="shared" ref="D19:D76" si="4">VALUE(C19)</f>
        <v>3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FAC-</v>
      </c>
      <c r="H19" s="44">
        <f>VLOOKUP(A19,'Species List'!$A:$G,7,FALSE)</f>
        <v>0</v>
      </c>
      <c r="J19" s="95">
        <v>2</v>
      </c>
      <c r="K19" s="47" t="str">
        <f>VLOOKUP(J19,'Species List'!$H$1:$J$9,2,FALSE)</f>
        <v>&gt;5-25%</v>
      </c>
      <c r="L19" s="47">
        <f>VLOOKUP(K19,'Species List'!$I$1:$N$8,2,FALSE)</f>
        <v>15</v>
      </c>
      <c r="M19" s="104">
        <f t="shared" si="2"/>
        <v>15</v>
      </c>
      <c r="N19" s="102">
        <f t="shared" si="0"/>
        <v>0.19736842105263158</v>
      </c>
      <c r="O19" s="102">
        <f t="shared" si="3"/>
        <v>0.59210526315789469</v>
      </c>
    </row>
    <row r="20" spans="1:15" x14ac:dyDescent="0.2">
      <c r="A20" s="111" t="s">
        <v>373</v>
      </c>
      <c r="B20" s="44" t="str">
        <f>IF(LEN(VLOOKUP(A20,'Species List'!$A:$G,2,FALSE))=0,"",VLOOKUP(A20,'Species List'!$A:$G,2,FALSE))</f>
        <v>big bluestem</v>
      </c>
      <c r="C20" s="44">
        <f>IF(LEN(VLOOKUP(A20,'Species List'!$A:$G,3,FALSE))=0,"",VLOOKUP(A20,'Species List'!$A:$G,3,FALSE))</f>
        <v>4</v>
      </c>
      <c r="D20" s="103">
        <f t="shared" si="4"/>
        <v>4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FAC-</v>
      </c>
      <c r="H20" s="44">
        <f>VLOOKUP(A20,'Species List'!$A:$G,7,FALSE)</f>
        <v>0</v>
      </c>
      <c r="J20" s="95">
        <v>2</v>
      </c>
      <c r="K20" s="47" t="str">
        <f>VLOOKUP(J20,'Species List'!$H$1:$J$9,2,FALSE)</f>
        <v>&gt;5-25%</v>
      </c>
      <c r="L20" s="47">
        <f>VLOOKUP(K20,'Species List'!$I$1:$N$8,2,FALSE)</f>
        <v>15</v>
      </c>
      <c r="M20" s="104">
        <f t="shared" si="2"/>
        <v>15</v>
      </c>
      <c r="N20" s="102">
        <f t="shared" si="0"/>
        <v>0.19736842105263158</v>
      </c>
      <c r="O20" s="102">
        <f t="shared" si="3"/>
        <v>0.78947368421052633</v>
      </c>
    </row>
    <row r="21" spans="1:15" x14ac:dyDescent="0.2">
      <c r="A21" s="110" t="s">
        <v>757</v>
      </c>
      <c r="B21" s="44" t="str">
        <f>IF(LEN(VLOOKUP(A21,'Species List'!$A:$G,2,FALSE))=0,"",VLOOKUP(A21,'Species List'!$A:$G,2,FALSE))</f>
        <v/>
      </c>
      <c r="C21" s="44">
        <f>IF(LEN(VLOOKUP(A21,'Species List'!$A:$G,3,FALSE))=0,"",VLOOKUP(A21,'Species List'!$A:$G,3,FALSE))</f>
        <v>6</v>
      </c>
      <c r="D21" s="103">
        <f t="shared" si="4"/>
        <v>6</v>
      </c>
      <c r="E21" s="44" t="str">
        <f>IF(LEN(VLOOKUP(A21,'Species List'!$A:$G,4,FALSE))=0,"",VLOOKUP(A21,'Species List'!$A:$G,4,FALSE))</f>
        <v>G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/>
      </c>
      <c r="H21" s="44">
        <f>VLOOKUP(A21,'Species List'!$A:$G,7,FALSE)</f>
        <v>0</v>
      </c>
      <c r="J21" s="95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2"/>
        <v>0.5</v>
      </c>
      <c r="N21" s="102">
        <f t="shared" si="0"/>
        <v>6.5789473684210523E-3</v>
      </c>
      <c r="O21" s="102">
        <f t="shared" si="3"/>
        <v>3.9473684210526314E-2</v>
      </c>
    </row>
    <row r="22" spans="1:15" x14ac:dyDescent="0.2">
      <c r="A22" s="110" t="s">
        <v>252</v>
      </c>
      <c r="B22" s="44" t="str">
        <f>IF(LEN(VLOOKUP(A22,'Species List'!$A:$G,2,FALSE))=0,"",VLOOKUP(A22,'Species List'!$A:$G,2,FALSE))</f>
        <v>redtop</v>
      </c>
      <c r="C22" s="44">
        <f>IF(LEN(VLOOKUP(A22,'Species List'!$A:$G,3,FALSE))=0,"",VLOOKUP(A22,'Species List'!$A:$G,3,FALSE))</f>
        <v>0</v>
      </c>
      <c r="D22" s="103">
        <f t="shared" si="4"/>
        <v>0</v>
      </c>
      <c r="E22" s="44" t="str">
        <f>IF(LEN(VLOOKUP(A22,'Species List'!$A:$G,4,FALSE))=0,"",VLOOKUP(A22,'Species List'!$A:$G,4,FALSE))</f>
        <v>G</v>
      </c>
      <c r="F22" s="44" t="str">
        <f>IF(LEN(VLOOKUP(A22,'Species List'!$A:$G,5,FALSE))=0,"",VLOOKUP(A22,'Species List'!$A:$G,5,FALSE))</f>
        <v>Introduced</v>
      </c>
      <c r="G22" s="44" t="str">
        <f>IF(LEN(VLOOKUP(A22,'Species List'!$A:$G,6,FALSE))=0,"",VLOOKUP(A22,'Species List'!$A:$G,6,FALSE))</f>
        <v>[FACW]</v>
      </c>
      <c r="H22" s="44">
        <f>VLOOKUP(A22,'Species List'!$A:$G,7,FALSE)</f>
        <v>0</v>
      </c>
      <c r="J22" s="95">
        <v>2</v>
      </c>
      <c r="K22" s="47" t="str">
        <f>VLOOKUP(J22,'Species List'!$H$1:$J$9,2,FALSE)</f>
        <v>&gt;5-25%</v>
      </c>
      <c r="L22" s="47">
        <f>VLOOKUP(K22,'Species List'!$I$1:$N$8,2,FALSE)</f>
        <v>15</v>
      </c>
      <c r="M22" s="104">
        <f t="shared" si="2"/>
        <v>15</v>
      </c>
      <c r="N22" s="102">
        <f t="shared" si="0"/>
        <v>0.19736842105263158</v>
      </c>
      <c r="O22" s="102">
        <f t="shared" si="3"/>
        <v>0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36" t="s">
        <v>5387</v>
      </c>
      <c r="J151" s="137"/>
      <c r="K151" s="138"/>
      <c r="L151" s="63">
        <f>SUMIF(L10:L150,"&gt;=0")</f>
        <v>76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39" t="s">
        <v>4840</v>
      </c>
      <c r="B1" s="139"/>
      <c r="C1" s="139"/>
      <c r="D1" s="139"/>
      <c r="E1" s="139"/>
      <c r="F1" s="139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8">
        <f>COUNTIF(Woody!$F$10:$F$149,"Native")</f>
        <v>1</v>
      </c>
      <c r="C4" s="108">
        <f>COUNTIF(Forbs!$F$10:$F$148,"Native")</f>
        <v>18</v>
      </c>
      <c r="D4" s="108">
        <f>COUNTIF(Grasses!$F$10:$F$149,"Native")</f>
        <v>8</v>
      </c>
      <c r="E4" s="108">
        <f>AVERAGE(B4:D4)</f>
        <v>9</v>
      </c>
      <c r="F4" s="108">
        <f>SUM(B4:D4)</f>
        <v>27</v>
      </c>
    </row>
    <row r="5" spans="1:6" ht="17.399999999999999" x14ac:dyDescent="0.3">
      <c r="A5" s="53" t="s">
        <v>4845</v>
      </c>
      <c r="B5" s="108">
        <f>COUNTIF(Woody!$F10:$F199,"Introduced")</f>
        <v>0</v>
      </c>
      <c r="C5" s="108">
        <f>COUNTIF(Forbs!$F10:$F199,"Introduced")</f>
        <v>5</v>
      </c>
      <c r="D5" s="108">
        <f>COUNTIF(Grasses!$F10:$F199,"Introduced")</f>
        <v>3</v>
      </c>
      <c r="E5" s="108">
        <f t="shared" ref="E5:E6" si="0">AVERAGE(B5:D5)</f>
        <v>2.6666666666666665</v>
      </c>
      <c r="F5" s="108">
        <f>SUM(B5:D5)</f>
        <v>8</v>
      </c>
    </row>
    <row r="6" spans="1:6" s="83" customFormat="1" ht="19.8" x14ac:dyDescent="0.4">
      <c r="A6" s="53" t="s">
        <v>5422</v>
      </c>
      <c r="B6" s="108">
        <f>SUM(B4:B5)</f>
        <v>1</v>
      </c>
      <c r="C6" s="108">
        <f>SUM(C4:C5)</f>
        <v>23</v>
      </c>
      <c r="D6" s="108">
        <f>SUM(D4:D5)</f>
        <v>11</v>
      </c>
      <c r="E6" s="108">
        <f t="shared" si="0"/>
        <v>11.666666666666666</v>
      </c>
      <c r="F6" s="108">
        <f>SUM(B6:D6)</f>
        <v>35</v>
      </c>
    </row>
    <row r="7" spans="1:6" ht="17.399999999999999" x14ac:dyDescent="0.3">
      <c r="A7" s="53" t="s">
        <v>4846</v>
      </c>
      <c r="B7" s="108">
        <f>AVERAGEIF(Woody!D12:D150,"&gt;0")</f>
        <v>2</v>
      </c>
      <c r="C7" s="108">
        <f>AVERAGEIF(Forbs!D12:D150,"&gt;0")</f>
        <v>3.875</v>
      </c>
      <c r="D7" s="108">
        <f>AVERAGEIF(Grasses!D12:D150,"&gt;0")</f>
        <v>4.25</v>
      </c>
      <c r="E7" s="108">
        <f>AVERAGE(B7:D7)</f>
        <v>3.375</v>
      </c>
      <c r="F7" s="108">
        <f>(SUMIF(Woody!D12:D150,"&gt;0")+SUMIF(Forbs!D12:D150,"&gt;0")+SUMIF(Grasses!D12:D150,"&gt;0"))/(COUNTIF(Woody!D12:D150,"&gt;0")+COUNTIF(Forbs!D12:D150,"&gt;0")+COUNTIF(Grasses!D12:D150,"&gt;0"))</f>
        <v>3.92</v>
      </c>
    </row>
    <row r="8" spans="1:6" s="31" customFormat="1" ht="19.8" x14ac:dyDescent="0.4">
      <c r="A8" s="53" t="s">
        <v>5423</v>
      </c>
      <c r="B8" s="108">
        <f>AVERAGEIF(Woody!D12:D150,"&gt;=0")</f>
        <v>2</v>
      </c>
      <c r="C8" s="108">
        <f>AVERAGEIF(Forbs!D12:D150,"&gt;=0")</f>
        <v>2.6956521739130435</v>
      </c>
      <c r="D8" s="108">
        <f>AVERAGEIF(Grasses!D12:D150,"&gt;=0")</f>
        <v>3.0909090909090908</v>
      </c>
      <c r="E8" s="108">
        <f>AVERAGE(B8:D8)</f>
        <v>2.5955204216073779</v>
      </c>
      <c r="F8" s="108">
        <f>(SUMIF(Woody!D12:D150,"&gt;=0")+SUMIF(Forbs!D12:D150,"&gt;=0")+SUMIF(Grasses!D12:D150,"&gt;=0"))/(COUNTIF(Woody!D12:D150,"&gt;=0")+COUNTIF(Forbs!D12:D150,"&gt;=0")+COUNTIF(Grasses!D12:D150,"&gt;=0"))</f>
        <v>2.8</v>
      </c>
    </row>
    <row r="9" spans="1:6" ht="17.399999999999999" x14ac:dyDescent="0.3">
      <c r="A9" s="53" t="s">
        <v>4839</v>
      </c>
      <c r="B9" s="108">
        <f>SQRT(B4)*B7</f>
        <v>2</v>
      </c>
      <c r="C9" s="108">
        <f>SQRT(C4)*C7</f>
        <v>16.440232662587228</v>
      </c>
      <c r="D9" s="108">
        <f>SQRT(D4)*D7</f>
        <v>12.020815280171309</v>
      </c>
      <c r="E9" s="108">
        <f>SQRT(E4)*E7</f>
        <v>10.125</v>
      </c>
      <c r="F9" s="108">
        <f>SQRT(F4)*F7</f>
        <v>20.368917497009996</v>
      </c>
    </row>
    <row r="10" spans="1:6" s="84" customFormat="1" ht="19.8" x14ac:dyDescent="0.4">
      <c r="A10" s="53" t="s">
        <v>5424</v>
      </c>
      <c r="B10" s="108">
        <f>SQRT(B6)*B8</f>
        <v>2</v>
      </c>
      <c r="C10" s="108">
        <f>SQRT(C6)*C8</f>
        <v>12.927893671538634</v>
      </c>
      <c r="D10" s="108">
        <f>SQRT(D6)*D8</f>
        <v>10.251385715643963</v>
      </c>
      <c r="E10" s="108">
        <f>SQRT(E6)*E8</f>
        <v>8.8653899907511668</v>
      </c>
      <c r="F10" s="108">
        <f>SQRT(F6)*F8</f>
        <v>16.565023392678924</v>
      </c>
    </row>
    <row r="11" spans="1:6" ht="17.399999999999999" x14ac:dyDescent="0.3">
      <c r="A11" s="53" t="s">
        <v>4847</v>
      </c>
      <c r="B11" s="108">
        <f>SUMIF(Woody!$M$10:$M$150,"&gt;=0")</f>
        <v>0.5</v>
      </c>
      <c r="C11" s="108">
        <f>SUMIF(Forbs!$M$10:$M$151,"&gt;=0")</f>
        <v>108</v>
      </c>
      <c r="D11" s="108">
        <f>SUMIF(Grasses!$M$10:$M$150,"&gt;=0")</f>
        <v>76</v>
      </c>
      <c r="E11" s="108">
        <f>AVERAGE(B11:D11)</f>
        <v>61.5</v>
      </c>
      <c r="F11" s="108">
        <f>SUM(B11:D11)</f>
        <v>184.5</v>
      </c>
    </row>
    <row r="12" spans="1:6" ht="17.399999999999999" x14ac:dyDescent="0.3">
      <c r="A12" s="53" t="s">
        <v>5388</v>
      </c>
      <c r="B12" s="108">
        <f>SUMIF(Woody!$F$10:$F$150,"Introduced",Woody!$L$10:$L$150)</f>
        <v>0</v>
      </c>
      <c r="C12" s="108">
        <f>SUMIF(Forbs!$F$10:$F$151,"Introduced",Forbs!$L$10:$L$151)</f>
        <v>12.5</v>
      </c>
      <c r="D12" s="108">
        <f>SUMIF(Grasses!$F$10:$F$150,"Introduced",Grasses!$L$10:$L$150)</f>
        <v>21</v>
      </c>
      <c r="E12" s="108">
        <f>AVERAGE(B12:D12)</f>
        <v>11.166666666666666</v>
      </c>
      <c r="F12" s="108">
        <f>SUM(B12:D12)</f>
        <v>33.5</v>
      </c>
    </row>
    <row r="13" spans="1:6" ht="18" thickBot="1" x14ac:dyDescent="0.35">
      <c r="A13" s="54" t="s">
        <v>4848</v>
      </c>
      <c r="B13" s="109">
        <f>B12/B11</f>
        <v>0</v>
      </c>
      <c r="C13" s="109">
        <f>C12/C11</f>
        <v>0.11574074074074074</v>
      </c>
      <c r="D13" s="109">
        <f>D12/D11</f>
        <v>0.27631578947368424</v>
      </c>
      <c r="E13" s="109">
        <f>E12/E11</f>
        <v>0.18157181571815717</v>
      </c>
      <c r="F13" s="109">
        <f>F12/F11</f>
        <v>0.18157181571815717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7">
        <f>SUMIF(Woody!$O$10:$O$150,"&gt;=0")</f>
        <v>2</v>
      </c>
      <c r="C15" s="107">
        <f>SUMIF(Forbs!$O$10:$O$150,"&gt;=0")</f>
        <v>2.2546296296296293</v>
      </c>
      <c r="D15" s="107">
        <f>SUMIF(Grasses!$O$10:$O$150,"&gt;=0")</f>
        <v>2.8749999999999996</v>
      </c>
      <c r="E15" s="107">
        <f>AVERAGE(B15:D15)</f>
        <v>2.3765432098765431</v>
      </c>
      <c r="F15" s="108">
        <f>SUM(B15:D15)</f>
        <v>7.1296296296296298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2022-02-03T19:55:14Z</dcterms:modified>
</cp:coreProperties>
</file>