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codeName="ThisWorkbook" defaultThemeVersion="166925"/>
  <mc:AlternateContent xmlns:mc="http://schemas.openxmlformats.org/markup-compatibility/2006">
    <mc:Choice Requires="x15">
      <x15ac:absPath xmlns:x15ac="http://schemas.microsoft.com/office/spreadsheetml/2010/11/ac" url="/Users/maclehose/Dropbox/Projects - Dropbox/reproducibility/mine/cyp2d6 misclass/"/>
    </mc:Choice>
  </mc:AlternateContent>
  <xr:revisionPtr revIDLastSave="0" documentId="13_ncr:1_{C4F1A439-71E4-C943-9877-D12D57A036CF}" xr6:coauthVersionLast="47" xr6:coauthVersionMax="47" xr10:uidLastSave="{00000000-0000-0000-0000-000000000000}"/>
  <bookViews>
    <workbookView xWindow="14940" yWindow="920" windowWidth="22980" windowHeight="20680" xr2:uid="{00000000-000D-0000-FFFF-FFFF00000000}"/>
  </bookViews>
  <sheets>
    <sheet name="meta_update-20220928" sheetId="1"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23" i="1" l="1"/>
  <c r="AW23" i="1"/>
  <c r="AV23" i="1"/>
  <c r="AV3" i="1"/>
  <c r="AX35" i="1" l="1"/>
  <c r="AW35" i="1"/>
  <c r="BR6" i="1"/>
  <c r="BL4" i="1"/>
  <c r="BQ12" i="1"/>
  <c r="BT12" i="1" s="1"/>
  <c r="BP12" i="1"/>
  <c r="BS12" i="1" s="1"/>
  <c r="X40" i="1" l="1"/>
  <c r="W40" i="1"/>
  <c r="V40" i="1"/>
  <c r="T40" i="1"/>
  <c r="Q40" i="1"/>
  <c r="X39" i="1"/>
  <c r="W39" i="1"/>
  <c r="V39" i="1"/>
  <c r="X37" i="1"/>
  <c r="W37" i="1"/>
  <c r="V37" i="1"/>
  <c r="P37" i="1"/>
  <c r="AA35" i="1"/>
  <c r="AB35" i="1"/>
  <c r="Z35" i="1"/>
  <c r="X35" i="1"/>
  <c r="W35" i="1"/>
  <c r="V35" i="1"/>
  <c r="BQ34" i="1"/>
  <c r="BT34" i="1" s="1"/>
  <c r="BP34" i="1"/>
  <c r="BS34" i="1" s="1"/>
  <c r="AB34" i="1"/>
  <c r="AA34" i="1"/>
  <c r="Z34" i="1"/>
  <c r="X34" i="1"/>
  <c r="W34" i="1"/>
  <c r="V34" i="1"/>
  <c r="AF31" i="1"/>
  <c r="AB26" i="1"/>
  <c r="AA26" i="1"/>
  <c r="Z26" i="1"/>
  <c r="X25" i="1"/>
  <c r="W25" i="1"/>
  <c r="V25" i="1"/>
  <c r="T25" i="1"/>
  <c r="AB24" i="1"/>
  <c r="AA24" i="1"/>
  <c r="Z24" i="1"/>
  <c r="X24" i="1"/>
  <c r="W24" i="1"/>
  <c r="V24" i="1"/>
  <c r="U20" i="1"/>
  <c r="O20" i="1"/>
  <c r="AF10" i="1"/>
  <c r="X6" i="1"/>
  <c r="W6" i="1"/>
  <c r="V6" i="1"/>
  <c r="M6" i="1"/>
  <c r="AJ3" i="1"/>
  <c r="AC3" i="1"/>
  <c r="AB3" i="1"/>
  <c r="AA3" i="1"/>
  <c r="Z3" i="1"/>
  <c r="X3" i="1"/>
  <c r="W3" i="1"/>
  <c r="V3" i="1"/>
  <c r="Q3" i="1"/>
  <c r="R3" i="1"/>
  <c r="AF2" i="1"/>
  <c r="AC2" i="1"/>
  <c r="AB2" i="1"/>
  <c r="AA2" i="1"/>
  <c r="Z2" i="1"/>
  <c r="X2" i="1"/>
  <c r="W2" i="1"/>
  <c r="V2" i="1"/>
  <c r="M39" i="1"/>
  <c r="AF38" i="1"/>
  <c r="AF39" i="1"/>
  <c r="AD38" i="1"/>
  <c r="U37" i="1"/>
  <c r="AF36" i="1"/>
  <c r="O36" i="1"/>
  <c r="AV35" i="1"/>
  <c r="AF35" i="1"/>
  <c r="U35" i="1"/>
  <c r="BO34" i="1"/>
  <c r="BR34" i="1" s="1"/>
  <c r="AF34" i="1"/>
  <c r="AF33" i="1"/>
  <c r="U33" i="1"/>
  <c r="AF29" i="1"/>
  <c r="AF25" i="1"/>
  <c r="U24" i="1"/>
  <c r="P24" i="1"/>
  <c r="M24" i="1"/>
  <c r="U43" i="1"/>
  <c r="U42" i="1"/>
  <c r="U41" i="1"/>
  <c r="AV19" i="1"/>
  <c r="AW19" i="1"/>
  <c r="AX19" i="1"/>
  <c r="U19" i="1"/>
  <c r="T19" i="1"/>
  <c r="AX18" i="1"/>
  <c r="AW18" i="1"/>
  <c r="AV18" i="1"/>
  <c r="AU18" i="1"/>
  <c r="AT18" i="1"/>
  <c r="AS18" i="1"/>
  <c r="AF18" i="1"/>
  <c r="AF12" i="1"/>
  <c r="U12" i="1"/>
  <c r="AF11" i="1"/>
  <c r="AF9" i="1"/>
  <c r="BT10" i="1"/>
  <c r="BR10" i="1"/>
  <c r="BP10" i="1"/>
  <c r="BS10" i="1" s="1"/>
  <c r="U7" i="1"/>
  <c r="BQ6" i="1"/>
  <c r="AF3" i="1"/>
  <c r="O3" i="1"/>
  <c r="U3" i="1"/>
  <c r="AX39" i="1"/>
  <c r="AW39" i="1"/>
  <c r="AV39" i="1"/>
  <c r="T39" i="1" l="1"/>
  <c r="P38" i="1"/>
  <c r="T32" i="1"/>
  <c r="L32" i="1"/>
  <c r="T37" i="1"/>
  <c r="Q37" i="1"/>
  <c r="M37" i="1"/>
  <c r="AD29" i="1"/>
  <c r="S29" i="1"/>
  <c r="Q29" i="1"/>
  <c r="M29" i="1"/>
  <c r="T36" i="1"/>
  <c r="M36" i="1"/>
  <c r="T35" i="1"/>
  <c r="M35" i="1"/>
  <c r="Q34" i="1"/>
  <c r="P34" i="1"/>
  <c r="M34" i="1"/>
  <c r="BR28" i="1"/>
  <c r="Q33" i="1"/>
  <c r="P33" i="1"/>
  <c r="T33" i="1"/>
  <c r="Q25" i="1"/>
  <c r="P25" i="1"/>
  <c r="M25" i="1"/>
  <c r="Q12" i="1" l="1"/>
  <c r="M3" i="1"/>
  <c r="AD24" i="1"/>
  <c r="Q24" i="1"/>
  <c r="AD3" i="1"/>
  <c r="T3" i="1"/>
  <c r="S3" i="1"/>
  <c r="P3" i="1"/>
  <c r="Q2" i="1"/>
  <c r="BN2" i="1"/>
  <c r="BM2" i="1"/>
  <c r="BL2" i="1"/>
  <c r="BT6" i="1"/>
  <c r="T6" i="1"/>
  <c r="Q6" i="1"/>
  <c r="P6" i="1"/>
  <c r="BO12" i="1"/>
  <c r="BR12" i="1" s="1"/>
  <c r="BQ8" i="1"/>
  <c r="BT8" i="1" s="1"/>
  <c r="BP8" i="1"/>
  <c r="BS8" i="1" s="1"/>
  <c r="BO8" i="1"/>
  <c r="BR8" i="1" s="1"/>
  <c r="BT9" i="1"/>
  <c r="BS9" i="1"/>
  <c r="BN10" i="1"/>
  <c r="BM10" i="1"/>
  <c r="BL10" i="1"/>
  <c r="BS6" i="1"/>
  <c r="Q22" i="1"/>
  <c r="P22" i="1"/>
  <c r="BL13" i="1"/>
  <c r="BM13" i="1"/>
  <c r="BN13" i="1"/>
  <c r="BN4" i="1"/>
  <c r="BM4" i="1"/>
  <c r="BN5" i="1" l="1"/>
  <c r="BM5" i="1"/>
  <c r="BL5" i="1"/>
</calcChain>
</file>

<file path=xl/sharedStrings.xml><?xml version="1.0" encoding="utf-8"?>
<sst xmlns="http://schemas.openxmlformats.org/spreadsheetml/2006/main" count="593" uniqueCount="377">
  <si>
    <t>pmid</t>
  </si>
  <si>
    <t>dnasource</t>
  </si>
  <si>
    <t>country</t>
  </si>
  <si>
    <t>asian</t>
  </si>
  <si>
    <t>variants</t>
  </si>
  <si>
    <t>Ahern, 2020</t>
  </si>
  <si>
    <t>Tumor</t>
  </si>
  <si>
    <t>Denmark</t>
  </si>
  <si>
    <t>*4</t>
  </si>
  <si>
    <t>He, 2020</t>
  </si>
  <si>
    <t>Non-neoplastic</t>
  </si>
  <si>
    <t>Sweden</t>
  </si>
  <si>
    <t>*2, *2A, *3, *4, *6, *7, *8, *9, *10, *14, *17, *29, *35, *41A</t>
  </si>
  <si>
    <t>Rangel-Mendez, 2020</t>
  </si>
  <si>
    <t>Mexico (Mestizo)</t>
  </si>
  <si>
    <t>*2, *3, *4, *5, *10, *17, *29</t>
  </si>
  <si>
    <t>Sanchez-Spitman, 2019</t>
  </si>
  <si>
    <t>Multi-center</t>
  </si>
  <si>
    <t>AmpliChip CYP450</t>
  </si>
  <si>
    <t>Mayer, 2019</t>
  </si>
  <si>
    <t>U.S.</t>
  </si>
  <si>
    <t>*2, *3, *4, *5, *6, *9, *10, *35, *41</t>
  </si>
  <si>
    <t>Lan, 2018</t>
  </si>
  <si>
    <t>China</t>
  </si>
  <si>
    <t>*2A, *10, *82, *90, *91, *94, rs1135840, rs1080989, rs28680494</t>
  </si>
  <si>
    <t>Argalacsova, 2017</t>
  </si>
  <si>
    <t>Czech Republic</t>
  </si>
  <si>
    <t>Hertz, 2017</t>
  </si>
  <si>
    <t>*2 *3 *4 *6 *10 *41</t>
  </si>
  <si>
    <t>De Ameida Melo, 2016</t>
  </si>
  <si>
    <t>Brazil</t>
  </si>
  <si>
    <t>*4 *10 *17</t>
  </si>
  <si>
    <t>Lei, 2016</t>
  </si>
  <si>
    <t>*10</t>
  </si>
  <si>
    <t>Johansson, 2016</t>
  </si>
  <si>
    <t>*3 *4 *5 *6 *7 *8 *9 * 10 *12 *14 *17 *29 *41</t>
  </si>
  <si>
    <t>Zhang, 2015</t>
  </si>
  <si>
    <t>Markkula, 2014</t>
  </si>
  <si>
    <t>*3 *4 *6 *10 *41</t>
  </si>
  <si>
    <t>Mwinyi, 2014</t>
  </si>
  <si>
    <t>Switzerland</t>
  </si>
  <si>
    <t>*3 *4 *5 *6 *10 *41</t>
  </si>
  <si>
    <t>Chamnanphon, 2013</t>
  </si>
  <si>
    <t>Thailand</t>
  </si>
  <si>
    <t>Austria</t>
  </si>
  <si>
    <t>Dezentje, 2013</t>
  </si>
  <si>
    <t>Netherlands</t>
  </si>
  <si>
    <t>*3 *4 *6 *14 *41</t>
  </si>
  <si>
    <t>Sirachainan, 2012</t>
  </si>
  <si>
    <t>Morrow, 2012</t>
  </si>
  <si>
    <t>Damodaran, 2012</t>
  </si>
  <si>
    <t>India</t>
  </si>
  <si>
    <t>*2 *4 *5 *10</t>
  </si>
  <si>
    <t>Sukasem, 2012</t>
  </si>
  <si>
    <t>Teh, 2012</t>
  </si>
  <si>
    <t>Malaysia</t>
  </si>
  <si>
    <t>Regan, 2012</t>
  </si>
  <si>
    <t>*2 *3 *4 *5 *6 *7 *10 *17 *41</t>
  </si>
  <si>
    <t>Rae, 2012</t>
  </si>
  <si>
    <t>Park, 2011</t>
  </si>
  <si>
    <t>Korea</t>
  </si>
  <si>
    <t>*2 *3 *4 *5 *10 *14 *18 *21 *41 *49 *52 *60</t>
  </si>
  <si>
    <t>Lash, 2011</t>
  </si>
  <si>
    <t>Thompson, 2011</t>
  </si>
  <si>
    <t>U.K.</t>
  </si>
  <si>
    <t>Gor, 2010</t>
  </si>
  <si>
    <t>Abraham, 2010</t>
  </si>
  <si>
    <t>*4 *5 *6 *9 *10 *41</t>
  </si>
  <si>
    <t>Kiyotani, 2010</t>
  </si>
  <si>
    <t>Japan</t>
  </si>
  <si>
    <t>*4 *6 *10 *14 *18 *21 *36 *41</t>
  </si>
  <si>
    <t>Okishiro, 2009</t>
  </si>
  <si>
    <t>Bijl, 2009</t>
  </si>
  <si>
    <t>Xu, 2008</t>
  </si>
  <si>
    <t>Schroth, 2007</t>
  </si>
  <si>
    <t>Germany</t>
  </si>
  <si>
    <t>*4 *5 *10 *41</t>
  </si>
  <si>
    <t>Wegman, 2007</t>
  </si>
  <si>
    <t>Nowell, 2005</t>
  </si>
  <si>
    <t>*4 *6</t>
  </si>
  <si>
    <t>*4; rs16947; rs1065852; rs3892097; rs28371725</t>
  </si>
  <si>
    <t>give allele information but not genotype</t>
  </si>
  <si>
    <t>notes</t>
  </si>
  <si>
    <t>ww is UM+EM; vv is hetEM/IM/PM</t>
  </si>
  <si>
    <t>Syrian</t>
  </si>
  <si>
    <t>VV_1</t>
  </si>
  <si>
    <t>VW_1</t>
  </si>
  <si>
    <t>WW_0</t>
  </si>
  <si>
    <t>WW_1</t>
  </si>
  <si>
    <t>VV_0</t>
  </si>
  <si>
    <t>VW_0</t>
  </si>
  <si>
    <t>PM_1</t>
  </si>
  <si>
    <t>IM_1</t>
  </si>
  <si>
    <t>NM_1</t>
  </si>
  <si>
    <t>PM_0</t>
  </si>
  <si>
    <t>IM_0</t>
  </si>
  <si>
    <t>NM_0</t>
  </si>
  <si>
    <t>Study type</t>
  </si>
  <si>
    <t>cact</t>
  </si>
  <si>
    <t>er+</t>
  </si>
  <si>
    <t>ER+</t>
  </si>
  <si>
    <t>cohort</t>
  </si>
  <si>
    <t>er or pr+</t>
  </si>
  <si>
    <t>outcome</t>
  </si>
  <si>
    <t>hr+</t>
  </si>
  <si>
    <t>recurrence</t>
  </si>
  <si>
    <t>recurrence or death</t>
  </si>
  <si>
    <t>ER+ proportion</t>
  </si>
  <si>
    <t>Tamoxifen (Y/N)</t>
  </si>
  <si>
    <t>Tamoxifen duration</t>
  </si>
  <si>
    <t>Proportion HER2+</t>
  </si>
  <si>
    <t>Immortal time bias</t>
  </si>
  <si>
    <t>Adjuvant Radiation</t>
  </si>
  <si>
    <t>Adjuvant Chemo</t>
  </si>
  <si>
    <t>Neoadj Radiation</t>
  </si>
  <si>
    <t>Neoadj Chemo</t>
  </si>
  <si>
    <t>Postmenopausal</t>
  </si>
  <si>
    <t>Mastectomy</t>
  </si>
  <si>
    <t>Matched variabels</t>
  </si>
  <si>
    <t>ER+, TAM+, Menopausal, date of brca surgery, country, stage</t>
  </si>
  <si>
    <t>year published</t>
  </si>
  <si>
    <t>1985-2001</t>
  </si>
  <si>
    <t>protocol: 1y-.46; 2y-.17; 5y-.37</t>
  </si>
  <si>
    <t xml:space="preserve">followup time </t>
  </si>
  <si>
    <t>recurrence (local/distant) or contralateral occurrence</t>
  </si>
  <si>
    <t>cyp2d6 inhibiting meds</t>
  </si>
  <si>
    <t>subtracted from activity score</t>
  </si>
  <si>
    <t>1996-2000</t>
  </si>
  <si>
    <t>any recurrence</t>
  </si>
  <si>
    <t>HR</t>
  </si>
  <si>
    <t>OR</t>
  </si>
  <si>
    <t>phenotype alg</t>
  </si>
  <si>
    <t>Blake 2007 then Rae 2009 - pharmaco</t>
  </si>
  <si>
    <t>Note 2</t>
  </si>
  <si>
    <t>1991-2005</t>
  </si>
  <si>
    <t>recurrence (local/dist) or contralateral</t>
  </si>
  <si>
    <t>1986-2000</t>
  </si>
  <si>
    <t>1986-1997</t>
  </si>
  <si>
    <t>2 or 5  yrs</t>
  </si>
  <si>
    <t>PR=52%</t>
  </si>
  <si>
    <t>no infor on how phenotypes were defined. counts only provided for *4</t>
  </si>
  <si>
    <t>5 yrs</t>
  </si>
  <si>
    <t>recurrence or death due to brca</t>
  </si>
  <si>
    <t>2009-2012</t>
  </si>
  <si>
    <t>30.4 months</t>
  </si>
  <si>
    <t>recurrence (metastatic; local distant recur; new BC)</t>
  </si>
  <si>
    <t>2002-2008</t>
  </si>
  <si>
    <t>recurrence/death due to brca</t>
  </si>
  <si>
    <t>5y</t>
  </si>
  <si>
    <t>computation type</t>
  </si>
  <si>
    <t>author</t>
  </si>
  <si>
    <t>european</t>
  </si>
  <si>
    <t>genotype</t>
  </si>
  <si>
    <t>*4/*4 vs wt/wt</t>
  </si>
  <si>
    <t>Data year (range)</t>
  </si>
  <si>
    <t>1998-2003</t>
  </si>
  <si>
    <t>ER+ or PR+</t>
  </si>
  <si>
    <t>none computed</t>
  </si>
  <si>
    <t>Gaedigk (table 2)</t>
  </si>
  <si>
    <t>PM vs EM</t>
  </si>
  <si>
    <t>PM vs NM</t>
  </si>
  <si>
    <t>Rae 2009</t>
  </si>
  <si>
    <t>Extrapolate recurrence from fig 2a</t>
  </si>
  <si>
    <t>unk</t>
  </si>
  <si>
    <t xml:space="preserve">recurrence (local/dist)  </t>
  </si>
  <si>
    <t>1989-2007</t>
  </si>
  <si>
    <t>AmpliChip CYP450 - 33 alleles 4,5,10,41</t>
  </si>
  <si>
    <t>see footnote in table 2</t>
  </si>
  <si>
    <t>OR (OR is effect)</t>
  </si>
  <si>
    <t>data</t>
  </si>
  <si>
    <t>2005-2012</t>
  </si>
  <si>
    <t>combined normal and ultrarapid</t>
  </si>
  <si>
    <t>1991-2010</t>
  </si>
  <si>
    <t>death all cause</t>
  </si>
  <si>
    <t>2002-2011</t>
  </si>
  <si>
    <t>recurence /death (any)</t>
  </si>
  <si>
    <t>any overlap with data from Lash?</t>
  </si>
  <si>
    <t>relapse/progression or AE</t>
  </si>
  <si>
    <t>1985-2011</t>
  </si>
  <si>
    <t>1985-1996</t>
  </si>
  <si>
    <t>*3,*4,*6</t>
  </si>
  <si>
    <t>(4/4 or 4/wt) vs wt/wt</t>
  </si>
  <si>
    <t>Goetza, 2005</t>
  </si>
  <si>
    <t>Goetzb, 2013</t>
  </si>
  <si>
    <t>rucrrence or contralateral</t>
  </si>
  <si>
    <t>4/4 vs (wt/wt or 4/wt)</t>
  </si>
  <si>
    <t>age, surgery, radiation, stage</t>
  </si>
  <si>
    <t>pm vs nm</t>
  </si>
  <si>
    <t>2008-2010</t>
  </si>
  <si>
    <t>recurrence or 2nd brca</t>
  </si>
  <si>
    <t>any vs NM</t>
  </si>
  <si>
    <t>Schroth</t>
  </si>
  <si>
    <t>recurrence or 2nd primary</t>
  </si>
  <si>
    <t>IM/PM vs NM</t>
  </si>
  <si>
    <t>date, menopause, stage, race</t>
  </si>
  <si>
    <t>Serano, The Pharmacogenomics Journal (2011) 11, 100–107</t>
  </si>
  <si>
    <t>1970-1999</t>
  </si>
  <si>
    <t>Gaedigk</t>
  </si>
  <si>
    <t>pm vs Im/nm</t>
  </si>
  <si>
    <t>TLL notes</t>
  </si>
  <si>
    <t>Added HER2 positive data; added information on co-medications; table says metabolizer status is based on CYP2D6 polymorphisms, but methods say comedications were included in Table 2 classifications. Then results say PM polymorphisms.</t>
  </si>
  <si>
    <t>Results report PM polymorphisms HR 95% CI is 0.08875-5.5506, so could add this as estimate of assocations</t>
  </si>
  <si>
    <t>2001-2006</t>
  </si>
  <si>
    <t>added TEAM trial years of surgery (enrollment) 2001 to 2006 (. DOI: 10.1002/bjs.6962); all participants in TEAM trial were postmenopausal, so I added that (https://doi.org/10.1016/S0140-6736(10)62312-4). No immortal time bias for TEAM trial, so I added that.</t>
  </si>
  <si>
    <t>TLL possible actions</t>
  </si>
  <si>
    <t>KM curves show 3 years of follow-up, so could add that. Counts are available for CYP2D6*41 (Fig 2, panel b), so could add that.</t>
  </si>
  <si>
    <t>Changed immortal PT bias to yes. Follow-up began at surgery, but persons with events in first eight months were excluded. Follow range was 8.1 to 227.2 months.</t>
  </si>
  <si>
    <t>Changed calculation of percent chemotherapy to account for different size groups in each metabolizer category.</t>
  </si>
  <si>
    <t>Looks like there are events very close to time zero (Figure 2 KM), so I think immortal time bias is no.</t>
  </si>
  <si>
    <t xml:space="preserve">There are a couple studies where it seems like tumor stage has been mixed up with grade. Here the stage 2 and 3 is clearly stage and not grade. How will this be used in the analysis or publication? Changed 7.3 years follow-up from median to mean (as stated in paper). </t>
  </si>
  <si>
    <t>21 countries, mostly western</t>
  </si>
  <si>
    <t>ATAC ITT was 5 years, I am sure (standard of care at time of the trial). Also, 69% RT has to be post surgical, not neoadjuvant. Same for chemo (I think the trial predates neoadjuvant therapy being used routinely). Changed UK to 21 countries (I think these were mostly or entirely North America and Europe).</t>
  </si>
  <si>
    <t>1997-2008</t>
  </si>
  <si>
    <t>er+ (all but 1)</t>
  </si>
  <si>
    <t xml:space="preserve">3, 4, 5, 6, 7, 8 11, 14a, 15, 19, 20, 36, 40, 4xn, 9, 10, 17, 29, 41, 10xn, 17xn, 41xn, 1, 2, 35 </t>
  </si>
  <si>
    <t>there is *10 data. Also HRs for EM/IM vs EM/EM</t>
  </si>
  <si>
    <t>2010-2011</t>
  </si>
  <si>
    <t>excluded from study</t>
  </si>
  <si>
    <t>Borges *1 &amp; *2 --&gt; 1 *10--&gt;.5 *4 &amp; *5--&gt;0</t>
  </si>
  <si>
    <t>IM vs NM</t>
  </si>
  <si>
    <t>2010-2015</t>
  </si>
  <si>
    <t>distant recurrence</t>
  </si>
  <si>
    <t>*4, *10, *41, *69</t>
  </si>
  <si>
    <t>1986-2007</t>
  </si>
  <si>
    <t>unique: NM=*1/*1. IM=*1/any not *1. PM=not *1/not *1</t>
  </si>
  <si>
    <t>1991-2014</t>
  </si>
  <si>
    <t>1993-2008</t>
  </si>
  <si>
    <t>*10 v/v. vs w/w</t>
  </si>
  <si>
    <t>assuming they modeleted genotype continuously. Effet is exp(.333*2)</t>
  </si>
  <si>
    <t>1998-2004</t>
  </si>
  <si>
    <t>*10/*10 vs w/w or v/w</t>
  </si>
  <si>
    <t>2002-2004</t>
  </si>
  <si>
    <t>3.9 y</t>
  </si>
  <si>
    <t>pm vs em</t>
  </si>
  <si>
    <t>gaedigk</t>
  </si>
  <si>
    <t>2013-2015</t>
  </si>
  <si>
    <t>(PM/IM) vs (NM/UM)</t>
  </si>
  <si>
    <t>same as ours</t>
  </si>
  <si>
    <t>age, menopause, surgery, ER/PR status, HER, grade, stage, chemo/rad date</t>
  </si>
  <si>
    <t>*4, *10</t>
  </si>
  <si>
    <t xml:space="preserve">*10/*10 vs w/w  </t>
  </si>
  <si>
    <t>1994-2005</t>
  </si>
  <si>
    <t>10/10 vs (w/w or v/w)</t>
  </si>
  <si>
    <t>2002-2009</t>
  </si>
  <si>
    <t xml:space="preserve">death  </t>
  </si>
  <si>
    <t>*10 v/v or v/w vs w/w</t>
  </si>
  <si>
    <t>Effect contrast 2</t>
  </si>
  <si>
    <t>Effect contrast 1</t>
  </si>
  <si>
    <t>age</t>
  </si>
  <si>
    <t>Check</t>
  </si>
  <si>
    <t>Point Est crude 1</t>
  </si>
  <si>
    <t>Lower CI crude 1</t>
  </si>
  <si>
    <t>Upper CI crude 1</t>
  </si>
  <si>
    <t>Point Est adj 1</t>
  </si>
  <si>
    <t>Lower CI adj 1</t>
  </si>
  <si>
    <t>Upper CI adj 1</t>
  </si>
  <si>
    <t>*4/wt vs wt/wt</t>
  </si>
  <si>
    <t>Point Est crude 2</t>
  </si>
  <si>
    <t>Lower CI crude 2</t>
  </si>
  <si>
    <t>Upper CI crude 2</t>
  </si>
  <si>
    <t>Point Est adj 2</t>
  </si>
  <si>
    <t>Lower CI adj 2</t>
  </si>
  <si>
    <t>Upper CI adj 2</t>
  </si>
  <si>
    <t>IM vs EM</t>
  </si>
  <si>
    <t>Note on which data to use</t>
  </si>
  <si>
    <t>*4 gtype. No information on what phenotype alg was used</t>
  </si>
  <si>
    <t>&lt;14</t>
  </si>
  <si>
    <t>&lt;3</t>
  </si>
  <si>
    <t>Ptype count data</t>
  </si>
  <si>
    <t>&lt;10</t>
  </si>
  <si>
    <t>inhibition: using index of high int+high</t>
  </si>
  <si>
    <t>gtype count data</t>
  </si>
  <si>
    <t>PM: 3/4/6/7 for both; IM: 41/41 or 41/PM or 1 of PM or 1 of 41; NM none</t>
  </si>
  <si>
    <t>Using Ptype data</t>
  </si>
  <si>
    <t>NM= no 4/5 and only 1 10/41 (AS &gt;=1.5); IM=hetEM+IM=[1 4/5 + no 10/41 (AS=1)] AND [2 10/41] and [4/5 + 10/41] (AS=1 or AS=.5);  PM= 2 4/5 (AS=0)</t>
  </si>
  <si>
    <t>&lt;5</t>
  </si>
  <si>
    <t>1991-1995</t>
  </si>
  <si>
    <t>1996-2004</t>
  </si>
  <si>
    <t>recurrence (local/dist) or contralateral or death from brca</t>
  </si>
  <si>
    <t>im to nm</t>
  </si>
  <si>
    <t>combined table 5 results on em/pm and em/im (last 2 rows) to give im vs em  using fixedi in stata</t>
  </si>
  <si>
    <t>disease free survival</t>
  </si>
  <si>
    <t>4/wt vs wt/wt</t>
  </si>
  <si>
    <t>recurrence death</t>
  </si>
  <si>
    <t>AS: 3,4,6=0; 10,41=.5; 1,2=1….AS:0=PM; .5=IM; 1-2=EM</t>
  </si>
  <si>
    <t>SAME DATA AS LASH 2011? - yes exclude</t>
  </si>
  <si>
    <t>1 - 2 years</t>
  </si>
  <si>
    <t>UM/IM included as rapid. Slow is only PM/IM or PM/PM. (no mention of IM/IM)</t>
  </si>
  <si>
    <t>1993-1999</t>
  </si>
  <si>
    <t>table 2: EM=*35; IM={2, 9, 10, 41}; PM={3,4,5,6}. Then EM/EM vs any PM/IM</t>
  </si>
  <si>
    <t>crude OR calc from their table 3</t>
  </si>
  <si>
    <t>PM: homozyg for 3,4,5,6,7,8,11,14,15,19,20,40; IM: 2 of 9,10,17,29,36,41 OR 1 of these and 1 of the PM; EM = 2 of 1,2,35</t>
  </si>
  <si>
    <t>would be possible to get IM&amp;PM cell coutns</t>
  </si>
  <si>
    <t>could get cell counts for *4/*4+*4/wt</t>
  </si>
  <si>
    <t>unclear. Assuming 1/1-&gt;normal. 4/4-&gt; poor. Others-&gt; int</t>
  </si>
  <si>
    <t xml:space="preserve">ptype alg very unclear </t>
  </si>
  <si>
    <t>homozygous for not *1 vs homozygous *1</t>
  </si>
  <si>
    <t>recurrence/death (any)</t>
  </si>
  <si>
    <t>&lt;12y</t>
  </si>
  <si>
    <t>*10 *4 *5 *14</t>
  </si>
  <si>
    <t>PM/IM vs NM</t>
  </si>
  <si>
    <t>ecode1</t>
  </si>
  <si>
    <t>ecode2</t>
  </si>
  <si>
    <t>Ismail Al khalil, 2022</t>
  </si>
  <si>
    <t>im vs nm</t>
  </si>
  <si>
    <t>DATA DO NOT CONFORM TO SENS/SPEC. NOTHING BUT MISSING. SO USING OVERALL ESTIMATES INSTEAD. CALCULATED THE CRUDE PM VS NM AND IM VS NM FROM PTYPE DATA</t>
  </si>
  <si>
    <t>4/4 vs wt/wt</t>
  </si>
  <si>
    <t>study num</t>
  </si>
  <si>
    <t>check phen alg</t>
  </si>
  <si>
    <t>could use figure for cell counts</t>
  </si>
  <si>
    <t>check abst</t>
  </si>
  <si>
    <t xml:space="preserve">Study Name </t>
  </si>
  <si>
    <t>SEARACH/ECRIC</t>
  </si>
  <si>
    <t>grade 1</t>
  </si>
  <si>
    <t>grade 2</t>
  </si>
  <si>
    <t>grade 3</t>
  </si>
  <si>
    <t>stage 1</t>
  </si>
  <si>
    <t>stage 2</t>
  </si>
  <si>
    <t>stage 3</t>
  </si>
  <si>
    <t>stage 4</t>
  </si>
  <si>
    <t xml:space="preserve">*4/*4 vs wt/wt </t>
  </si>
  <si>
    <t>supplement tble 4 gives counts. Table 5 give effects</t>
  </si>
  <si>
    <t xml:space="preserve">Using all cause mortality rather than BC mortality </t>
  </si>
  <si>
    <t>immortal note</t>
  </si>
  <si>
    <t>grade 4</t>
  </si>
  <si>
    <t>immortal for survival. Start clock at diagnosis. But analysis is among those on tamoxifen. Time between dx and tam tx is immortal</t>
  </si>
  <si>
    <t>phenotype function not specified. Assuming they used GS at time of the study (Goetz)</t>
  </si>
  <si>
    <t>The Rotterdam Study</t>
  </si>
  <si>
    <t>BC mortality</t>
  </si>
  <si>
    <t>Using breast ca mortality as outcome. Results from table 2</t>
  </si>
  <si>
    <t>assume goetz</t>
  </si>
  <si>
    <t>TEAM trial</t>
  </si>
  <si>
    <t>LIBRO1 KARMA</t>
  </si>
  <si>
    <t>Immortal time bias possible. Fig 1 says "301 pts who started tx within 9 months of study entry.' results say started followup at study entry not time of tamoxifen. Time from entry to tx is immortal</t>
  </si>
  <si>
    <t>data available from extrapoloation in this study and others. Not extrapolating to be consistent.</t>
  </si>
  <si>
    <t>Immortal time: start clock at BC diagnosis. Study entry depends on 1 year of tamox. Time between entry and end of 1 year is immortal</t>
  </si>
  <si>
    <t>NOTE WE ARE PREFERING PTYPE TO GTYPE</t>
  </si>
  <si>
    <t>2 or 3: 67%</t>
  </si>
  <si>
    <t xml:space="preserve"> </t>
  </si>
  <si>
    <t>Poorly documented. Cites www.cypalleles.ki.se. no longer exists. Includes 3 citations to schroth when discussing em/im/pm categorizations, so assume it’s the same</t>
  </si>
  <si>
    <t>genotype data is used to compute estimates. I am using estimates from the genotype data, not HRs from table 2 in wegman. Table 2 combines 4/4 and 4/1 together. This is more granular.</t>
  </si>
  <si>
    <t>dropped due to lack of relevant data. only info is on 4/4 vs (4/wt or wt/wt)</t>
  </si>
  <si>
    <t>Austrian Breast and Colorectal Study</t>
  </si>
  <si>
    <t>Intergroup Trial 0121</t>
  </si>
  <si>
    <t>Like Goetza…4/4 vs (4/wt and wt/wt)</t>
  </si>
  <si>
    <t>4 small trials</t>
  </si>
  <si>
    <t>QUILT Study</t>
  </si>
  <si>
    <t>Early Breast Cancer Trialists Collaborative</t>
  </si>
  <si>
    <t xml:space="preserve">time from diagnosis to primary tx is not at risk of recurrence. </t>
  </si>
  <si>
    <t>ATAC trial</t>
  </si>
  <si>
    <t>CYPTAM</t>
  </si>
  <si>
    <t>has 1 (5+17+2)/110 vs 2/3 (17+46+5)/110</t>
  </si>
  <si>
    <t>1 (34/95) vs 2/3 (52/95)</t>
  </si>
  <si>
    <t>0-2 (70/95) vs 3/4 (25/95)</t>
  </si>
  <si>
    <t>RR</t>
  </si>
  <si>
    <t>only for *10. The HR in the text is v/v vs (wt/wt or wt/v). Instead, calculating crude effects from data in text and using those RRs instead if this doesn't run in model (too many impossibles</t>
  </si>
  <si>
    <t>*10 v/v   vs w/w</t>
  </si>
  <si>
    <t>enrolled current and previous. Start followup at diagnosis but blood draws are done much later</t>
  </si>
  <si>
    <t>effect calc from table 3 for 2*beta</t>
  </si>
  <si>
    <t>Sim, 2018</t>
  </si>
  <si>
    <t>1998-2000</t>
  </si>
  <si>
    <t>*4, *4, *10, *17, *41</t>
  </si>
  <si>
    <t>recurrence/death (unclear)</t>
  </si>
  <si>
    <t>Strange split (PM and half of IM vs half of IM and NM)</t>
  </si>
  <si>
    <t>see table 2 Caudle: 4/69--&gt;0; 10-&gt;.25; 41-&gt;.5; 1/2-&gt;1 THEN: NM=AS[1.25-2], IM[0-1], PM[AS=0]</t>
  </si>
  <si>
    <t>imposs</t>
  </si>
  <si>
    <t>LOH adj results in huge number of negatives for VV.1</t>
  </si>
  <si>
    <t>inc genotyping adj causes impossible values in non-diseased</t>
  </si>
  <si>
    <t>inc genotyping adj causes impossible values in non-diseased ww.0</t>
  </si>
  <si>
    <t>im/pm vs em</t>
  </si>
  <si>
    <t>nm=wt; IM=anything else ;  I combined home em and het im as that is closest to cpic alg for NM</t>
  </si>
  <si>
    <t>outcome_cat</t>
  </si>
  <si>
    <t>crude from "csi 10 38 38 74"</t>
  </si>
  <si>
    <t>Calculated RR from crude data csi 12 5 21 57</t>
  </si>
  <si>
    <t>Calculated crude RR in spreadsheet from abstracted cell counts</t>
  </si>
  <si>
    <t>table 3 gives info. Used table info to calculate RR rather than use estimate in paper which is HR based and didn't include EM/IM in the NM category. Calculated RR is closer to cpic categorization: csi 14 19 7 17</t>
  </si>
  <si>
    <t>require 4 weeks on tx but start followup at diagnosis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</si>
</sst>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rialMT"/>
      <family val="2"/>
    </font>
    <font>
      <sz val="11"/>
      <color theme="1"/>
      <name val="ArialMT"/>
      <family val="2"/>
    </font>
    <font>
      <sz val="18"/>
      <color theme="3"/>
      <name val="Calibri Light"/>
      <family val="2"/>
      <scheme val="major"/>
    </font>
    <font>
      <b/>
      <sz val="15"/>
      <color theme="3"/>
      <name val="ArialMT"/>
      <family val="2"/>
    </font>
    <font>
      <b/>
      <sz val="13"/>
      <color theme="3"/>
      <name val="ArialMT"/>
      <family val="2"/>
    </font>
    <font>
      <b/>
      <sz val="11"/>
      <color theme="3"/>
      <name val="ArialMT"/>
      <family val="2"/>
    </font>
    <font>
      <sz val="11"/>
      <color rgb="FF006100"/>
      <name val="ArialMT"/>
      <family val="2"/>
    </font>
    <font>
      <sz val="11"/>
      <color rgb="FF9C0006"/>
      <name val="ArialMT"/>
      <family val="2"/>
    </font>
    <font>
      <sz val="11"/>
      <color rgb="FF9C5700"/>
      <name val="ArialMT"/>
      <family val="2"/>
    </font>
    <font>
      <sz val="11"/>
      <color rgb="FF3F3F76"/>
      <name val="ArialMT"/>
      <family val="2"/>
    </font>
    <font>
      <b/>
      <sz val="11"/>
      <color rgb="FF3F3F3F"/>
      <name val="ArialMT"/>
      <family val="2"/>
    </font>
    <font>
      <b/>
      <sz val="11"/>
      <color rgb="FFFA7D00"/>
      <name val="ArialMT"/>
      <family val="2"/>
    </font>
    <font>
      <sz val="11"/>
      <color rgb="FFFA7D00"/>
      <name val="ArialMT"/>
      <family val="2"/>
    </font>
    <font>
      <b/>
      <sz val="11"/>
      <color theme="0"/>
      <name val="ArialMT"/>
      <family val="2"/>
    </font>
    <font>
      <sz val="11"/>
      <color rgb="FFFF0000"/>
      <name val="ArialMT"/>
      <family val="2"/>
    </font>
    <font>
      <i/>
      <sz val="11"/>
      <color rgb="FF7F7F7F"/>
      <name val="ArialMT"/>
      <family val="2"/>
    </font>
    <font>
      <b/>
      <sz val="11"/>
      <color theme="1"/>
      <name val="ArialMT"/>
      <family val="2"/>
    </font>
    <font>
      <sz val="11"/>
      <color theme="0"/>
      <name val="ArialMT"/>
      <family val="2"/>
    </font>
    <font>
      <sz val="11"/>
      <color theme="1"/>
      <name val="ArialMT"/>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33" borderId="0" xfId="0" quotePrefix="1" applyFill="1"/>
    <xf numFmtId="0" fontId="18" fillId="33" borderId="0" xfId="0" applyFont="1" applyFill="1"/>
    <xf numFmtId="0" fontId="0" fillId="42"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A43"/>
  <sheetViews>
    <sheetView tabSelected="1" zoomScale="130" zoomScaleNormal="130" workbookViewId="0">
      <pane xSplit="5" topLeftCell="F1" activePane="topRight" state="frozen"/>
      <selection pane="topRight" activeCell="A38" sqref="A38:XFD38"/>
    </sheetView>
  </sheetViews>
  <sheetFormatPr baseColWidth="10" defaultColWidth="11" defaultRowHeight="14"/>
  <cols>
    <col min="2" max="3" width="3" customWidth="1"/>
    <col min="4" max="4" width="3.1640625" customWidth="1"/>
    <col min="5" max="5" width="20.6640625" bestFit="1" customWidth="1"/>
    <col min="6" max="6" width="22.6640625" bestFit="1" customWidth="1"/>
    <col min="7" max="7" width="9.5" customWidth="1"/>
    <col min="8" max="10" width="11" customWidth="1"/>
    <col min="11" max="11" width="9.6640625" customWidth="1"/>
    <col min="12" max="12" width="13.33203125" bestFit="1" customWidth="1"/>
    <col min="13" max="13" width="15.83203125" bestFit="1" customWidth="1"/>
    <col min="14" max="14" width="14.5" bestFit="1" customWidth="1"/>
    <col min="15" max="15" width="16.83203125" bestFit="1" customWidth="1"/>
    <col min="16" max="16" width="16.33203125" bestFit="1" customWidth="1"/>
    <col min="17" max="17" width="14.5" bestFit="1" customWidth="1"/>
    <col min="18" max="18" width="14.83203125" bestFit="1" customWidth="1"/>
    <col min="19" max="19" width="13.1640625" bestFit="1" customWidth="1"/>
    <col min="20" max="20" width="14.6640625" bestFit="1" customWidth="1"/>
    <col min="21" max="29" width="14.6640625" customWidth="1"/>
    <col min="30" max="30" width="11" customWidth="1"/>
    <col min="31" max="31" width="16" bestFit="1" customWidth="1"/>
    <col min="32" max="32" width="19.5" bestFit="1" customWidth="1"/>
    <col min="33" max="33" width="17.5" bestFit="1" customWidth="1"/>
    <col min="34" max="36" width="17.5" customWidth="1"/>
    <col min="37" max="37" width="13.33203125" bestFit="1" customWidth="1"/>
    <col min="38" max="38" width="15.1640625" bestFit="1" customWidth="1"/>
    <col min="39" max="39" width="9.1640625" customWidth="1"/>
    <col min="40" max="40" width="8.1640625" customWidth="1"/>
    <col min="41" max="41" width="53.6640625" bestFit="1" customWidth="1"/>
    <col min="42" max="42" width="22.83203125" bestFit="1" customWidth="1"/>
    <col min="43" max="43" width="22.83203125" customWidth="1"/>
    <col min="44" max="44" width="7.1640625" bestFit="1" customWidth="1"/>
    <col min="45" max="45" width="11" customWidth="1"/>
    <col min="46" max="46" width="6.6640625" customWidth="1"/>
    <col min="47" max="47" width="7.33203125" customWidth="1"/>
    <col min="48" max="48" width="11" customWidth="1"/>
    <col min="49" max="49" width="6.6640625" customWidth="1"/>
    <col min="50" max="50" width="7.33203125" customWidth="1"/>
    <col min="51" max="52" width="22.83203125" customWidth="1"/>
    <col min="53" max="53" width="11" customWidth="1"/>
    <col min="54" max="54" width="6.6640625" customWidth="1"/>
    <col min="55" max="55" width="7.33203125" customWidth="1"/>
    <col min="56" max="56" width="11" customWidth="1"/>
    <col min="57" max="57" width="6.6640625" customWidth="1"/>
    <col min="58" max="60" width="7.33203125" customWidth="1"/>
    <col min="61" max="61" width="11" customWidth="1"/>
    <col min="73" max="73" width="19" bestFit="1" customWidth="1"/>
    <col min="74" max="74" width="19" customWidth="1"/>
    <col min="75" max="75" width="77.5" customWidth="1"/>
  </cols>
  <sheetData>
    <row r="1" spans="1:79">
      <c r="A1" t="s">
        <v>365</v>
      </c>
      <c r="B1" t="s">
        <v>308</v>
      </c>
      <c r="C1" t="s">
        <v>310</v>
      </c>
      <c r="D1" t="s">
        <v>307</v>
      </c>
      <c r="E1" t="s">
        <v>150</v>
      </c>
      <c r="F1" t="s">
        <v>249</v>
      </c>
      <c r="G1" t="s">
        <v>120</v>
      </c>
      <c r="H1" t="s">
        <v>0</v>
      </c>
      <c r="I1" t="s">
        <v>97</v>
      </c>
      <c r="J1" t="s">
        <v>311</v>
      </c>
      <c r="K1" t="s">
        <v>154</v>
      </c>
      <c r="L1" t="s">
        <v>107</v>
      </c>
      <c r="M1" t="s">
        <v>110</v>
      </c>
      <c r="N1" t="s">
        <v>108</v>
      </c>
      <c r="O1" t="s">
        <v>109</v>
      </c>
      <c r="P1" t="s">
        <v>112</v>
      </c>
      <c r="Q1" t="s">
        <v>113</v>
      </c>
      <c r="R1" t="s">
        <v>114</v>
      </c>
      <c r="S1" t="s">
        <v>115</v>
      </c>
      <c r="T1" t="s">
        <v>116</v>
      </c>
      <c r="U1" t="s">
        <v>248</v>
      </c>
      <c r="V1" t="s">
        <v>313</v>
      </c>
      <c r="W1" t="s">
        <v>314</v>
      </c>
      <c r="X1" t="s">
        <v>315</v>
      </c>
      <c r="Y1" t="s">
        <v>324</v>
      </c>
      <c r="Z1" t="s">
        <v>316</v>
      </c>
      <c r="AA1" t="s">
        <v>317</v>
      </c>
      <c r="AB1" t="s">
        <v>318</v>
      </c>
      <c r="AC1" t="s">
        <v>319</v>
      </c>
      <c r="AD1" t="s">
        <v>117</v>
      </c>
      <c r="AE1" t="s">
        <v>111</v>
      </c>
      <c r="AF1" t="s">
        <v>123</v>
      </c>
      <c r="AG1" t="s">
        <v>103</v>
      </c>
      <c r="AH1" t="s">
        <v>371</v>
      </c>
      <c r="AI1" t="s">
        <v>118</v>
      </c>
      <c r="AJ1" t="s">
        <v>125</v>
      </c>
      <c r="AK1" t="s">
        <v>1</v>
      </c>
      <c r="AL1" t="s">
        <v>2</v>
      </c>
      <c r="AM1" t="s">
        <v>151</v>
      </c>
      <c r="AN1" t="s">
        <v>3</v>
      </c>
      <c r="AO1" t="s">
        <v>4</v>
      </c>
      <c r="AP1" t="s">
        <v>149</v>
      </c>
      <c r="AQ1" t="s">
        <v>247</v>
      </c>
      <c r="AR1" t="s">
        <v>301</v>
      </c>
      <c r="AS1" t="s">
        <v>250</v>
      </c>
      <c r="AT1" t="s">
        <v>251</v>
      </c>
      <c r="AU1" t="s">
        <v>252</v>
      </c>
      <c r="AV1" t="s">
        <v>253</v>
      </c>
      <c r="AW1" t="s">
        <v>254</v>
      </c>
      <c r="AX1" t="s">
        <v>255</v>
      </c>
      <c r="AY1" t="s">
        <v>246</v>
      </c>
      <c r="AZ1" t="s">
        <v>302</v>
      </c>
      <c r="BA1" t="s">
        <v>257</v>
      </c>
      <c r="BB1" t="s">
        <v>258</v>
      </c>
      <c r="BC1" t="s">
        <v>259</v>
      </c>
      <c r="BD1" t="s">
        <v>260</v>
      </c>
      <c r="BE1" t="s">
        <v>261</v>
      </c>
      <c r="BF1" t="s">
        <v>262</v>
      </c>
      <c r="BG1" t="s">
        <v>169</v>
      </c>
      <c r="BH1" t="s">
        <v>152</v>
      </c>
      <c r="BI1" t="s">
        <v>85</v>
      </c>
      <c r="BJ1" t="s">
        <v>86</v>
      </c>
      <c r="BK1" t="s">
        <v>88</v>
      </c>
      <c r="BL1" t="s">
        <v>89</v>
      </c>
      <c r="BM1" t="s">
        <v>90</v>
      </c>
      <c r="BN1" t="s">
        <v>87</v>
      </c>
      <c r="BO1" t="s">
        <v>91</v>
      </c>
      <c r="BP1" t="s">
        <v>92</v>
      </c>
      <c r="BQ1" t="s">
        <v>93</v>
      </c>
      <c r="BR1" t="s">
        <v>94</v>
      </c>
      <c r="BS1" t="s">
        <v>95</v>
      </c>
      <c r="BT1" t="s">
        <v>96</v>
      </c>
      <c r="BU1" t="s">
        <v>131</v>
      </c>
      <c r="BV1" t="s">
        <v>264</v>
      </c>
      <c r="BW1" t="s">
        <v>82</v>
      </c>
      <c r="BX1" t="s">
        <v>133</v>
      </c>
      <c r="BY1" t="s">
        <v>323</v>
      </c>
      <c r="BZ1" t="s">
        <v>199</v>
      </c>
      <c r="CA1" t="s">
        <v>204</v>
      </c>
    </row>
    <row r="2" spans="1:79" s="6" customFormat="1">
      <c r="B2" s="6">
        <v>1</v>
      </c>
      <c r="C2" s="6">
        <v>1</v>
      </c>
      <c r="D2" s="6">
        <v>1</v>
      </c>
      <c r="E2" s="6" t="s">
        <v>66</v>
      </c>
      <c r="G2" s="6">
        <v>2010</v>
      </c>
      <c r="H2" s="6">
        <v>20731819</v>
      </c>
      <c r="I2" s="6" t="s">
        <v>101</v>
      </c>
      <c r="J2" s="6" t="s">
        <v>312</v>
      </c>
      <c r="K2" s="6" t="s">
        <v>172</v>
      </c>
      <c r="L2" s="6" t="s">
        <v>99</v>
      </c>
      <c r="N2" s="6">
        <v>1</v>
      </c>
      <c r="Q2" s="6">
        <f>587/3155</f>
        <v>0.18605388272583201</v>
      </c>
      <c r="U2" s="6">
        <v>53</v>
      </c>
      <c r="V2" s="6">
        <f>670/3155</f>
        <v>0.21236133122028525</v>
      </c>
      <c r="W2" s="6">
        <f>1448/3155</f>
        <v>0.45895404120443739</v>
      </c>
      <c r="X2" s="6">
        <f>560/3155</f>
        <v>0.1774960380348653</v>
      </c>
      <c r="Y2" s="6">
        <v>0</v>
      </c>
      <c r="Z2" s="6">
        <f>1624/3155</f>
        <v>0.5147385103011094</v>
      </c>
      <c r="AA2" s="6">
        <f>1359/3155</f>
        <v>0.43074484944532487</v>
      </c>
      <c r="AB2" s="6">
        <f>99/3155</f>
        <v>3.1378763866877969E-2</v>
      </c>
      <c r="AC2" s="6">
        <f>28/3155</f>
        <v>8.874801901743265E-3</v>
      </c>
      <c r="AE2" s="6">
        <v>1</v>
      </c>
      <c r="AF2" s="6">
        <f>18860.38/3155</f>
        <v>5.9779334389857368</v>
      </c>
      <c r="AG2" s="6" t="s">
        <v>173</v>
      </c>
      <c r="AH2" s="6">
        <v>2</v>
      </c>
      <c r="AJ2" s="6">
        <v>0.06</v>
      </c>
      <c r="AK2" s="6" t="s">
        <v>10</v>
      </c>
      <c r="AL2" s="6" t="s">
        <v>64</v>
      </c>
      <c r="AM2" s="6">
        <v>1</v>
      </c>
      <c r="AN2" s="6">
        <v>0</v>
      </c>
      <c r="AO2" s="6" t="s">
        <v>67</v>
      </c>
      <c r="AP2" s="6" t="s">
        <v>129</v>
      </c>
      <c r="AQ2" s="6" t="s">
        <v>320</v>
      </c>
      <c r="AS2" s="6">
        <v>1.06</v>
      </c>
      <c r="AT2" s="6">
        <v>0.9</v>
      </c>
      <c r="AU2" s="6">
        <v>1.26</v>
      </c>
      <c r="AV2" s="6">
        <v>1.1100000000000001</v>
      </c>
      <c r="AW2" s="6">
        <v>0.84</v>
      </c>
      <c r="AX2" s="6">
        <v>1.46</v>
      </c>
      <c r="BG2" s="6">
        <v>1</v>
      </c>
      <c r="BH2" s="6">
        <v>1</v>
      </c>
      <c r="BI2" s="6">
        <v>23</v>
      </c>
      <c r="BJ2" s="6">
        <v>159</v>
      </c>
      <c r="BK2" s="6">
        <v>302</v>
      </c>
      <c r="BL2" s="6">
        <f>130-BI2</f>
        <v>107</v>
      </c>
      <c r="BM2" s="6">
        <f>978-BJ2</f>
        <v>819</v>
      </c>
      <c r="BN2" s="6">
        <f>1950-BK2</f>
        <v>1648</v>
      </c>
      <c r="BU2" s="6" t="s">
        <v>8</v>
      </c>
      <c r="BW2" s="6" t="s">
        <v>321</v>
      </c>
      <c r="BX2" s="6" t="s">
        <v>322</v>
      </c>
      <c r="BY2" s="6" t="s">
        <v>325</v>
      </c>
    </row>
    <row r="3" spans="1:79" s="1" customFormat="1">
      <c r="B3" s="6">
        <v>1</v>
      </c>
      <c r="C3" s="1">
        <v>1</v>
      </c>
      <c r="D3" s="1">
        <v>2</v>
      </c>
      <c r="E3" s="1" t="s">
        <v>25</v>
      </c>
      <c r="G3" s="1">
        <v>2017</v>
      </c>
      <c r="H3" s="1">
        <v>29135105</v>
      </c>
      <c r="I3" s="1" t="s">
        <v>101</v>
      </c>
      <c r="K3" s="1" t="s">
        <v>178</v>
      </c>
      <c r="L3" s="1" t="s">
        <v>99</v>
      </c>
      <c r="M3" s="1">
        <f>(6+31)/(71+87)</f>
        <v>0.23417721518987342</v>
      </c>
      <c r="N3" s="1">
        <v>1</v>
      </c>
      <c r="O3" s="1">
        <f>(43*71/(71+187)+60*187/(71+187))/12</f>
        <v>4.6101421188630498</v>
      </c>
      <c r="P3" s="1">
        <f>(48+92)/(187+71)</f>
        <v>0.54263565891472865</v>
      </c>
      <c r="Q3" s="1">
        <f>(27+52+ 4+4)/(187+71)</f>
        <v>0.33720930232558138</v>
      </c>
      <c r="R3" s="1">
        <f>(9+18)/(71+187)</f>
        <v>0.10465116279069768</v>
      </c>
      <c r="S3" s="1">
        <f>(9+18)/(187+71)</f>
        <v>0.10465116279069768</v>
      </c>
      <c r="T3" s="1">
        <f>187/(187+71)</f>
        <v>0.72480620155038755</v>
      </c>
      <c r="U3" s="1">
        <f>44*71/(71+187)+57*187/(71+187)</f>
        <v>53.422480620155042</v>
      </c>
      <c r="V3" s="1">
        <f>(15+23)/(71+187)</f>
        <v>0.14728682170542637</v>
      </c>
      <c r="W3" s="1">
        <f>(24+67)/(71+187)</f>
        <v>0.35271317829457366</v>
      </c>
      <c r="X3" s="1">
        <f>(11+35)/(71+187)</f>
        <v>0.17829457364341086</v>
      </c>
      <c r="Y3" s="1">
        <v>0</v>
      </c>
      <c r="Z3" s="1">
        <f>(43+115)/(71+187)</f>
        <v>0.61240310077519378</v>
      </c>
      <c r="AA3" s="1">
        <f>(19+39)/(71+187)</f>
        <v>0.22480620155038761</v>
      </c>
      <c r="AB3" s="1">
        <f>9/(71+187)</f>
        <v>3.4883720930232558E-2</v>
      </c>
      <c r="AC3" s="1">
        <f>17/(71+187)</f>
        <v>6.589147286821706E-2</v>
      </c>
      <c r="AD3" s="1">
        <f>(29+109)/(71+187)</f>
        <v>0.53488372093023251</v>
      </c>
      <c r="AE3" s="1">
        <v>0</v>
      </c>
      <c r="AF3" s="1">
        <f>(56*71/(71+187)+91*187/(71+187))/12</f>
        <v>6.780684754521964</v>
      </c>
      <c r="AG3" s="1" t="s">
        <v>177</v>
      </c>
      <c r="AH3" s="1">
        <v>1</v>
      </c>
      <c r="AJ3" s="1">
        <f>(27+10+5+1)/(71+187)</f>
        <v>0.16666666666666666</v>
      </c>
      <c r="AK3" s="1" t="s">
        <v>10</v>
      </c>
      <c r="AL3" s="1" t="s">
        <v>26</v>
      </c>
      <c r="AM3" s="1">
        <v>1</v>
      </c>
      <c r="AN3" s="1">
        <v>0</v>
      </c>
      <c r="AO3" s="1" t="s">
        <v>18</v>
      </c>
      <c r="AP3" s="1" t="s">
        <v>157</v>
      </c>
      <c r="AQ3" s="1" t="s">
        <v>160</v>
      </c>
      <c r="AV3" s="1">
        <f>EXP((LN(AX3)+LN(AW3))/2)</f>
        <v>0.70186590599629495</v>
      </c>
      <c r="AW3" s="1">
        <v>8.8749999999999996E-2</v>
      </c>
      <c r="AX3" s="1">
        <v>5.5506000000000002</v>
      </c>
      <c r="BG3" s="1">
        <v>1</v>
      </c>
      <c r="BH3" s="1">
        <v>0</v>
      </c>
      <c r="BO3" s="1">
        <v>5</v>
      </c>
      <c r="BP3" s="1">
        <v>28</v>
      </c>
      <c r="BQ3" s="1">
        <v>31</v>
      </c>
      <c r="BR3" s="1">
        <v>21</v>
      </c>
      <c r="BS3" s="1">
        <v>112</v>
      </c>
      <c r="BT3" s="1">
        <v>130</v>
      </c>
      <c r="BU3" s="1" t="s">
        <v>330</v>
      </c>
      <c r="BW3" s="1" t="s">
        <v>326</v>
      </c>
      <c r="BZ3" s="1" t="s">
        <v>200</v>
      </c>
      <c r="CA3" s="1" t="s">
        <v>201</v>
      </c>
    </row>
    <row r="4" spans="1:79" s="1" customFormat="1">
      <c r="B4" s="6">
        <v>1</v>
      </c>
      <c r="C4" s="1">
        <v>1</v>
      </c>
      <c r="D4" s="1">
        <v>3</v>
      </c>
      <c r="E4" s="1" t="s">
        <v>72</v>
      </c>
      <c r="G4" s="1">
        <v>2009</v>
      </c>
      <c r="H4" s="1">
        <v>19189212</v>
      </c>
      <c r="I4" s="1" t="s">
        <v>101</v>
      </c>
      <c r="J4" s="1" t="s">
        <v>327</v>
      </c>
      <c r="K4" s="1" t="s">
        <v>134</v>
      </c>
      <c r="L4" s="1" t="s">
        <v>163</v>
      </c>
      <c r="N4" s="1">
        <v>1</v>
      </c>
      <c r="O4" s="1">
        <v>2.13</v>
      </c>
      <c r="U4" s="1">
        <v>75.5</v>
      </c>
      <c r="AE4" s="1">
        <v>0</v>
      </c>
      <c r="AF4" s="1" t="s">
        <v>266</v>
      </c>
      <c r="AG4" s="1" t="s">
        <v>328</v>
      </c>
      <c r="AH4" s="1">
        <v>2</v>
      </c>
      <c r="AJ4" s="1">
        <v>0.13</v>
      </c>
      <c r="AK4" s="1" t="s">
        <v>10</v>
      </c>
      <c r="AL4" s="1" t="s">
        <v>46</v>
      </c>
      <c r="AM4" s="1">
        <v>1</v>
      </c>
      <c r="AN4" s="1">
        <v>0</v>
      </c>
      <c r="AO4" s="1" t="s">
        <v>8</v>
      </c>
      <c r="AP4" s="1" t="s">
        <v>129</v>
      </c>
      <c r="AQ4" s="1" t="s">
        <v>153</v>
      </c>
      <c r="AV4" s="1">
        <v>4.0999999999999996</v>
      </c>
      <c r="AW4" s="1">
        <v>1.1000000000000001</v>
      </c>
      <c r="AX4" s="1">
        <v>15.9</v>
      </c>
      <c r="AY4" s="1" t="s">
        <v>256</v>
      </c>
      <c r="BD4" s="1">
        <v>1.9</v>
      </c>
      <c r="BE4" s="1">
        <v>0.9</v>
      </c>
      <c r="BF4" s="1">
        <v>3.9</v>
      </c>
      <c r="BG4" s="1">
        <v>1</v>
      </c>
      <c r="BH4" s="1">
        <v>1</v>
      </c>
      <c r="BI4" s="1">
        <v>3</v>
      </c>
      <c r="BJ4" s="1">
        <v>15</v>
      </c>
      <c r="BK4" s="1">
        <v>17</v>
      </c>
      <c r="BL4" s="1">
        <f>4-BI4</f>
        <v>1</v>
      </c>
      <c r="BM4" s="1">
        <f>29-BJ4</f>
        <v>14</v>
      </c>
      <c r="BN4" s="1">
        <f>52-BK4</f>
        <v>35</v>
      </c>
      <c r="BU4" s="1" t="s">
        <v>8</v>
      </c>
      <c r="BW4" s="1" t="s">
        <v>329</v>
      </c>
    </row>
    <row r="5" spans="1:79" s="1" customFormat="1">
      <c r="B5" s="6">
        <v>1</v>
      </c>
      <c r="C5" s="1">
        <v>1</v>
      </c>
      <c r="D5" s="1">
        <v>4</v>
      </c>
      <c r="E5" s="1" t="s">
        <v>45</v>
      </c>
      <c r="G5" s="1">
        <v>2013</v>
      </c>
      <c r="H5" s="1">
        <v>23842856</v>
      </c>
      <c r="I5" s="1" t="s">
        <v>101</v>
      </c>
      <c r="J5" s="1" t="s">
        <v>331</v>
      </c>
      <c r="K5" s="1" t="s">
        <v>202</v>
      </c>
      <c r="L5" s="1" t="s">
        <v>99</v>
      </c>
      <c r="N5" s="1">
        <v>1</v>
      </c>
      <c r="O5" s="1">
        <v>2.5</v>
      </c>
      <c r="P5" s="1">
        <v>0.59099999999999997</v>
      </c>
      <c r="Q5" s="1">
        <v>0.25700000000000001</v>
      </c>
      <c r="T5" s="1">
        <v>1</v>
      </c>
      <c r="U5" s="1">
        <v>66.099999999999994</v>
      </c>
      <c r="V5" s="1">
        <v>0.152</v>
      </c>
      <c r="W5" s="1">
        <v>0.42399999999999999</v>
      </c>
      <c r="X5" s="1">
        <v>0.36799999999999999</v>
      </c>
      <c r="Y5" s="1">
        <v>0</v>
      </c>
      <c r="Z5" s="1">
        <v>0.42399999999999999</v>
      </c>
      <c r="AA5" s="1">
        <v>0.51200000000000001</v>
      </c>
      <c r="AB5" s="1">
        <v>0.06</v>
      </c>
      <c r="AC5" s="1">
        <v>0</v>
      </c>
      <c r="AD5" s="1">
        <v>0.55400000000000005</v>
      </c>
      <c r="AE5" s="1">
        <v>0</v>
      </c>
      <c r="AF5" s="1" t="s">
        <v>267</v>
      </c>
      <c r="AG5" s="1" t="s">
        <v>106</v>
      </c>
      <c r="AH5" s="1">
        <v>3</v>
      </c>
      <c r="AJ5" s="1">
        <v>1.9E-2</v>
      </c>
      <c r="AK5" s="1" t="s">
        <v>6</v>
      </c>
      <c r="AL5" s="1" t="s">
        <v>46</v>
      </c>
      <c r="AM5" s="1">
        <v>1</v>
      </c>
      <c r="AN5" s="1">
        <v>0</v>
      </c>
      <c r="AO5" s="1" t="s">
        <v>47</v>
      </c>
      <c r="AP5" s="1" t="s">
        <v>129</v>
      </c>
      <c r="AQ5" s="1" t="s">
        <v>159</v>
      </c>
      <c r="AS5" s="1">
        <v>1.33</v>
      </c>
      <c r="AT5" s="1">
        <v>0.52</v>
      </c>
      <c r="AU5" s="1">
        <v>3.43</v>
      </c>
      <c r="AY5" s="1" t="s">
        <v>263</v>
      </c>
      <c r="BA5" s="1">
        <v>1.01</v>
      </c>
      <c r="BB5" s="1">
        <v>0.56999999999999995</v>
      </c>
      <c r="BC5" s="1">
        <v>1.78</v>
      </c>
      <c r="BG5" s="1">
        <v>1</v>
      </c>
      <c r="BH5" s="1">
        <v>1</v>
      </c>
      <c r="BI5" s="1">
        <v>5</v>
      </c>
      <c r="BJ5" s="1">
        <v>16</v>
      </c>
      <c r="BK5" s="1">
        <v>36</v>
      </c>
      <c r="BL5" s="1">
        <f>42-5</f>
        <v>37</v>
      </c>
      <c r="BM5" s="1">
        <f>180-16</f>
        <v>164</v>
      </c>
      <c r="BN5" s="1">
        <f>399-36</f>
        <v>363</v>
      </c>
      <c r="BU5" s="1" t="s">
        <v>8</v>
      </c>
      <c r="BV5" s="1" t="s">
        <v>265</v>
      </c>
      <c r="BW5" s="1" t="s">
        <v>140</v>
      </c>
      <c r="BZ5" s="1" t="s">
        <v>203</v>
      </c>
      <c r="CA5" s="1" t="s">
        <v>205</v>
      </c>
    </row>
    <row r="6" spans="1:79" s="1" customFormat="1">
      <c r="B6" s="6">
        <v>1</v>
      </c>
      <c r="C6" s="1">
        <v>1</v>
      </c>
      <c r="D6" s="1">
        <v>5</v>
      </c>
      <c r="E6" s="1" t="s">
        <v>9</v>
      </c>
      <c r="G6" s="1">
        <v>2020</v>
      </c>
      <c r="H6" s="1">
        <v>31800347</v>
      </c>
      <c r="I6" s="1" t="s">
        <v>101</v>
      </c>
      <c r="J6" s="1" t="s">
        <v>332</v>
      </c>
      <c r="K6" s="1" t="s">
        <v>170</v>
      </c>
      <c r="L6" s="1" t="s">
        <v>163</v>
      </c>
      <c r="M6" s="1">
        <f>(4+22+36+4)/(1309)</f>
        <v>5.0420168067226892E-2</v>
      </c>
      <c r="N6" s="1">
        <v>1</v>
      </c>
      <c r="P6" s="1">
        <f>(85+387+513+41)/(85+387+513+41+7+127+111+28)</f>
        <v>0.789838337182448</v>
      </c>
      <c r="Q6" s="1">
        <f>(22+94+140+8)/(22+94+140+8+40+498+403+90)</f>
        <v>0.20386100386100386</v>
      </c>
      <c r="T6" s="1">
        <f>(67+296+383+24)/(67+296+383+24+22+233+182+41)</f>
        <v>0.61698717948717952</v>
      </c>
      <c r="U6" s="1">
        <v>58.1</v>
      </c>
      <c r="V6" s="1">
        <f>(27+129+163+5)/1309</f>
        <v>0.2475171886936593</v>
      </c>
      <c r="W6" s="1">
        <f>(56+286+348+31)/1309</f>
        <v>0.55080213903743314</v>
      </c>
      <c r="X6" s="1">
        <f>(26+74+110+9)/1309</f>
        <v>0.16730328495034377</v>
      </c>
      <c r="Y6" s="1">
        <v>0</v>
      </c>
      <c r="AE6" s="1">
        <v>0</v>
      </c>
      <c r="AF6" s="1">
        <v>10.4</v>
      </c>
      <c r="AG6" s="1" t="s">
        <v>173</v>
      </c>
      <c r="AH6" s="1">
        <v>2</v>
      </c>
      <c r="AK6" s="1" t="s">
        <v>10</v>
      </c>
      <c r="AL6" s="1" t="s">
        <v>11</v>
      </c>
      <c r="AM6" s="1">
        <v>1</v>
      </c>
      <c r="AN6" s="1">
        <v>0</v>
      </c>
      <c r="AO6" s="1" t="s">
        <v>12</v>
      </c>
      <c r="AP6" s="1" t="s">
        <v>129</v>
      </c>
      <c r="AQ6" s="1" t="s">
        <v>160</v>
      </c>
      <c r="AV6" s="1">
        <v>2.59</v>
      </c>
      <c r="AW6" s="1">
        <v>1.39</v>
      </c>
      <c r="AX6" s="1">
        <v>4.83</v>
      </c>
      <c r="AY6" s="1" t="s">
        <v>219</v>
      </c>
      <c r="BD6" s="1">
        <v>1.86</v>
      </c>
      <c r="BE6" s="1">
        <v>1.2</v>
      </c>
      <c r="BF6" s="1">
        <v>2.87</v>
      </c>
      <c r="BG6" s="1">
        <v>1</v>
      </c>
      <c r="BH6" s="1">
        <v>0</v>
      </c>
      <c r="BO6" s="1">
        <v>15</v>
      </c>
      <c r="BP6" s="1">
        <v>42</v>
      </c>
      <c r="BQ6" s="1">
        <f>39+9</f>
        <v>48</v>
      </c>
      <c r="BR6" s="1">
        <f>113-BO6</f>
        <v>98</v>
      </c>
      <c r="BS6" s="1">
        <f>503-BP6</f>
        <v>461</v>
      </c>
      <c r="BT6" s="1">
        <f>645+48-BQ6</f>
        <v>645</v>
      </c>
      <c r="BU6" s="1" t="s">
        <v>158</v>
      </c>
      <c r="BV6" s="1" t="s">
        <v>268</v>
      </c>
      <c r="BW6" s="1" t="s">
        <v>171</v>
      </c>
    </row>
    <row r="7" spans="1:79" s="1" customFormat="1">
      <c r="B7" s="6">
        <v>1</v>
      </c>
      <c r="C7" s="1">
        <v>1</v>
      </c>
      <c r="D7" s="1">
        <v>6</v>
      </c>
      <c r="E7" s="1" t="s">
        <v>62</v>
      </c>
      <c r="G7" s="1">
        <v>2011</v>
      </c>
      <c r="H7" s="1">
        <v>21325141</v>
      </c>
      <c r="I7" s="1" t="s">
        <v>98</v>
      </c>
      <c r="K7" s="1" t="s">
        <v>121</v>
      </c>
      <c r="L7" s="1" t="s">
        <v>99</v>
      </c>
      <c r="N7" s="1">
        <v>1</v>
      </c>
      <c r="O7" s="1" t="s">
        <v>122</v>
      </c>
      <c r="P7" s="1">
        <v>0.35</v>
      </c>
      <c r="Q7" s="1">
        <v>0.12</v>
      </c>
      <c r="T7" s="1">
        <v>0.94</v>
      </c>
      <c r="U7" s="1">
        <f>(44+35)/2*0.024+(54+45)/2*0.21+(64+55)/2*0.52+(69+65)/2*0.25</f>
        <v>59.033000000000001</v>
      </c>
      <c r="V7" s="1">
        <v>0.35</v>
      </c>
      <c r="W7" s="1">
        <v>0.52</v>
      </c>
      <c r="X7" s="1">
        <v>0.14000000000000001</v>
      </c>
      <c r="Y7" s="1">
        <v>0</v>
      </c>
      <c r="Z7" s="1">
        <v>1.7000000000000001E-2</v>
      </c>
      <c r="AA7" s="1">
        <v>0.46</v>
      </c>
      <c r="AB7" s="1">
        <v>0.52</v>
      </c>
      <c r="AC7" s="1">
        <v>0</v>
      </c>
      <c r="AD7" s="1">
        <v>0.87</v>
      </c>
      <c r="AE7" s="1">
        <v>0</v>
      </c>
      <c r="AF7" s="1" t="s">
        <v>269</v>
      </c>
      <c r="AG7" s="1" t="s">
        <v>124</v>
      </c>
      <c r="AH7" s="1">
        <v>1</v>
      </c>
      <c r="AI7" s="1" t="s">
        <v>119</v>
      </c>
      <c r="AJ7" s="1">
        <v>0.115</v>
      </c>
      <c r="AK7" s="1" t="s">
        <v>6</v>
      </c>
      <c r="AL7" s="1" t="s">
        <v>7</v>
      </c>
      <c r="AM7" s="1">
        <v>1</v>
      </c>
      <c r="AN7" s="1">
        <v>0</v>
      </c>
      <c r="AO7" s="1" t="s">
        <v>8</v>
      </c>
      <c r="AP7" s="1" t="s">
        <v>130</v>
      </c>
      <c r="AQ7" s="1" t="s">
        <v>153</v>
      </c>
      <c r="AS7" s="1">
        <v>1.4</v>
      </c>
      <c r="AT7" s="1">
        <v>0.81</v>
      </c>
      <c r="AU7" s="1">
        <v>2.2999999999999998</v>
      </c>
      <c r="AV7" s="1">
        <v>1.4</v>
      </c>
      <c r="AW7" s="1">
        <v>0.84</v>
      </c>
      <c r="AX7" s="1">
        <v>2.2999999999999998</v>
      </c>
      <c r="AY7" s="1" t="s">
        <v>256</v>
      </c>
      <c r="BA7" s="1">
        <v>0.99</v>
      </c>
      <c r="BB7" s="1">
        <v>0.75</v>
      </c>
      <c r="BC7" s="1">
        <v>1.3</v>
      </c>
      <c r="BD7" s="1">
        <v>0.99</v>
      </c>
      <c r="BE7" s="1">
        <v>0.76</v>
      </c>
      <c r="BF7" s="1">
        <v>1.3</v>
      </c>
      <c r="BG7" s="1">
        <v>1</v>
      </c>
      <c r="BH7" s="1">
        <v>1</v>
      </c>
      <c r="BI7" s="1">
        <v>41</v>
      </c>
      <c r="BJ7" s="1">
        <v>154</v>
      </c>
      <c r="BK7" s="1">
        <v>299</v>
      </c>
      <c r="BL7" s="1">
        <v>30</v>
      </c>
      <c r="BM7" s="1">
        <v>159</v>
      </c>
      <c r="BN7" s="1">
        <v>308</v>
      </c>
      <c r="BU7" s="1" t="s">
        <v>8</v>
      </c>
      <c r="BV7" s="1" t="s">
        <v>271</v>
      </c>
      <c r="BW7" s="1" t="s">
        <v>270</v>
      </c>
    </row>
    <row r="8" spans="1:79" s="6" customFormat="1">
      <c r="B8" s="6">
        <v>1</v>
      </c>
      <c r="C8" s="6">
        <v>1</v>
      </c>
      <c r="D8" s="6">
        <v>7</v>
      </c>
      <c r="E8" s="6" t="s">
        <v>37</v>
      </c>
      <c r="G8" s="6">
        <v>2014</v>
      </c>
      <c r="H8" s="6">
        <v>24125101</v>
      </c>
      <c r="I8" s="6" t="s">
        <v>101</v>
      </c>
      <c r="K8" s="6" t="s">
        <v>146</v>
      </c>
      <c r="L8" s="6" t="s">
        <v>99</v>
      </c>
      <c r="N8" s="6">
        <v>1</v>
      </c>
      <c r="Q8" s="6">
        <v>0.156</v>
      </c>
      <c r="U8" s="6">
        <v>59.6</v>
      </c>
      <c r="AE8" s="6">
        <v>1</v>
      </c>
      <c r="AF8" s="6">
        <v>4.9000000000000004</v>
      </c>
      <c r="AG8" s="6" t="s">
        <v>147</v>
      </c>
      <c r="AH8" s="6">
        <v>3</v>
      </c>
      <c r="AJ8" s="6">
        <v>3.9E-2</v>
      </c>
      <c r="AK8" s="6" t="s">
        <v>10</v>
      </c>
      <c r="AL8" s="6" t="s">
        <v>11</v>
      </c>
      <c r="AM8" s="6">
        <v>1</v>
      </c>
      <c r="AN8" s="6">
        <v>0</v>
      </c>
      <c r="AO8" s="6" t="s">
        <v>38</v>
      </c>
      <c r="AP8" s="6" t="s">
        <v>129</v>
      </c>
      <c r="AQ8" s="6" t="s">
        <v>159</v>
      </c>
      <c r="AR8" s="6">
        <v>1</v>
      </c>
      <c r="AV8" s="6">
        <v>0.5</v>
      </c>
      <c r="AW8" s="6">
        <v>7.0000000000000007E-2</v>
      </c>
      <c r="AX8" s="6">
        <v>3.82</v>
      </c>
      <c r="AY8" s="6" t="s">
        <v>263</v>
      </c>
      <c r="AZ8" s="6">
        <v>4</v>
      </c>
      <c r="BD8" s="6">
        <v>1</v>
      </c>
      <c r="BE8" s="6">
        <v>0.47</v>
      </c>
      <c r="BF8" s="6">
        <v>2.11</v>
      </c>
      <c r="BG8" s="6">
        <v>0</v>
      </c>
      <c r="BH8" s="6">
        <v>0</v>
      </c>
      <c r="BO8" s="6">
        <f>ROUND((1-0.943)*20,0)</f>
        <v>1</v>
      </c>
      <c r="BP8" s="6">
        <f>ROUND(133*(1-0.871),0)</f>
        <v>17</v>
      </c>
      <c r="BQ8" s="6">
        <f>ROUND(154*(1-0.7714),0)</f>
        <v>35</v>
      </c>
      <c r="BR8" s="6">
        <f>20-BO8</f>
        <v>19</v>
      </c>
      <c r="BS8" s="6">
        <f>133-BP8</f>
        <v>116</v>
      </c>
      <c r="BT8" s="6">
        <f>154-BQ8</f>
        <v>119</v>
      </c>
      <c r="BU8" s="6" t="s">
        <v>161</v>
      </c>
      <c r="BV8" s="6" t="s">
        <v>334</v>
      </c>
      <c r="BW8" s="6" t="s">
        <v>162</v>
      </c>
      <c r="BY8" s="6" t="s">
        <v>333</v>
      </c>
    </row>
    <row r="9" spans="1:79" s="6" customFormat="1">
      <c r="B9" s="6">
        <v>1</v>
      </c>
      <c r="C9" s="6">
        <v>1</v>
      </c>
      <c r="D9" s="6">
        <v>8</v>
      </c>
      <c r="E9" s="6" t="s">
        <v>39</v>
      </c>
      <c r="G9" s="6">
        <v>2014</v>
      </c>
      <c r="H9" s="6">
        <v>24682508</v>
      </c>
      <c r="I9" s="6" t="s">
        <v>101</v>
      </c>
      <c r="K9" s="6" t="s">
        <v>143</v>
      </c>
      <c r="L9" s="6" t="s">
        <v>99</v>
      </c>
      <c r="M9" s="6">
        <v>0.222</v>
      </c>
      <c r="N9" s="6">
        <v>1</v>
      </c>
      <c r="O9" s="6" t="s">
        <v>144</v>
      </c>
      <c r="Q9" s="6">
        <v>0.75800000000000001</v>
      </c>
      <c r="T9" s="6">
        <v>0.52500000000000002</v>
      </c>
      <c r="U9" s="6">
        <v>48</v>
      </c>
      <c r="V9" s="6">
        <v>0.10100000000000001</v>
      </c>
      <c r="W9" s="6">
        <v>0.46500000000000002</v>
      </c>
      <c r="X9" s="6">
        <v>0.434</v>
      </c>
      <c r="Y9" s="6">
        <v>0</v>
      </c>
      <c r="AE9" s="6">
        <v>1</v>
      </c>
      <c r="AF9" s="6">
        <f>47.8/12</f>
        <v>3.9833333333333329</v>
      </c>
      <c r="AG9" s="6" t="s">
        <v>145</v>
      </c>
      <c r="AH9" s="6">
        <v>1</v>
      </c>
      <c r="AK9" s="6" t="s">
        <v>10</v>
      </c>
      <c r="AL9" s="6" t="s">
        <v>40</v>
      </c>
      <c r="AM9" s="6">
        <v>1</v>
      </c>
      <c r="AN9" s="6">
        <v>0</v>
      </c>
      <c r="AO9" s="6" t="s">
        <v>41</v>
      </c>
      <c r="AP9" s="6" t="s">
        <v>157</v>
      </c>
      <c r="AQ9" s="6" t="s">
        <v>157</v>
      </c>
      <c r="BG9" s="6">
        <v>1</v>
      </c>
      <c r="BH9" s="6">
        <v>0</v>
      </c>
      <c r="BO9" s="6">
        <v>1</v>
      </c>
      <c r="BP9" s="6">
        <v>9</v>
      </c>
      <c r="BQ9" s="6">
        <v>5</v>
      </c>
      <c r="BR9" s="6">
        <v>5</v>
      </c>
      <c r="BS9" s="6">
        <f>27+8+18</f>
        <v>53</v>
      </c>
      <c r="BT9" s="6">
        <f>22+3</f>
        <v>25</v>
      </c>
      <c r="BU9" s="6" t="s">
        <v>158</v>
      </c>
      <c r="BY9" s="6" t="s">
        <v>335</v>
      </c>
    </row>
    <row r="10" spans="1:79" s="1" customFormat="1">
      <c r="B10" s="6">
        <v>1</v>
      </c>
      <c r="C10" s="1">
        <v>1</v>
      </c>
      <c r="D10" s="1">
        <v>9</v>
      </c>
      <c r="E10" s="1" t="s">
        <v>56</v>
      </c>
      <c r="F10" s="1" t="s">
        <v>336</v>
      </c>
      <c r="G10" s="1">
        <v>2012</v>
      </c>
      <c r="H10" s="1">
        <v>22395644</v>
      </c>
      <c r="I10" s="1" t="s">
        <v>101</v>
      </c>
      <c r="K10" s="1" t="s">
        <v>155</v>
      </c>
      <c r="L10" s="1" t="s">
        <v>156</v>
      </c>
      <c r="M10" s="1">
        <v>0.06</v>
      </c>
      <c r="N10" s="1">
        <v>1</v>
      </c>
      <c r="O10" s="1" t="s">
        <v>148</v>
      </c>
      <c r="Q10" s="1">
        <v>0.23</v>
      </c>
      <c r="T10" s="1">
        <v>1</v>
      </c>
      <c r="U10" s="1">
        <v>61</v>
      </c>
      <c r="W10" s="1" t="s">
        <v>337</v>
      </c>
      <c r="AD10" s="1">
        <v>0.42</v>
      </c>
      <c r="AE10" s="1">
        <v>0</v>
      </c>
      <c r="AF10" s="1">
        <f>72/12</f>
        <v>6</v>
      </c>
      <c r="AG10" s="1" t="s">
        <v>105</v>
      </c>
      <c r="AH10" s="1">
        <v>1</v>
      </c>
      <c r="AK10" s="1" t="s">
        <v>6</v>
      </c>
      <c r="AL10" s="1" t="s">
        <v>17</v>
      </c>
      <c r="AM10" s="1">
        <v>1</v>
      </c>
      <c r="AN10" s="1">
        <v>0</v>
      </c>
      <c r="AO10" s="1" t="s">
        <v>57</v>
      </c>
      <c r="AP10" s="1" t="s">
        <v>129</v>
      </c>
      <c r="AQ10" s="1" t="s">
        <v>153</v>
      </c>
      <c r="AV10" s="1">
        <v>0.56999999999999995</v>
      </c>
      <c r="AW10" s="1">
        <v>0.26</v>
      </c>
      <c r="AX10" s="1">
        <v>1.23</v>
      </c>
      <c r="BG10" s="1">
        <v>1</v>
      </c>
      <c r="BH10" s="1">
        <v>0</v>
      </c>
      <c r="BI10" s="1">
        <v>7</v>
      </c>
      <c r="BJ10" s="1">
        <v>22</v>
      </c>
      <c r="BK10" s="1">
        <v>60</v>
      </c>
      <c r="BL10" s="1">
        <f>76-BI10</f>
        <v>69</v>
      </c>
      <c r="BM10" s="1">
        <f>168-BJ10</f>
        <v>146</v>
      </c>
      <c r="BN10" s="1">
        <f>609-BK10</f>
        <v>549</v>
      </c>
      <c r="BO10" s="1">
        <v>8</v>
      </c>
      <c r="BP10" s="1">
        <f>6+34</f>
        <v>40</v>
      </c>
      <c r="BQ10" s="1">
        <v>75</v>
      </c>
      <c r="BR10" s="1">
        <f>86-BO10</f>
        <v>78</v>
      </c>
      <c r="BS10" s="1">
        <f>44+233-BP10</f>
        <v>237</v>
      </c>
      <c r="BT10" s="1">
        <f>610-BQ10</f>
        <v>535</v>
      </c>
      <c r="BU10" s="1" t="s">
        <v>272</v>
      </c>
      <c r="BV10" s="1" t="s">
        <v>273</v>
      </c>
    </row>
    <row r="11" spans="1:79" s="1" customFormat="1">
      <c r="B11" s="6">
        <v>1</v>
      </c>
      <c r="C11" s="1">
        <v>1</v>
      </c>
      <c r="D11" s="1">
        <v>10</v>
      </c>
      <c r="E11" s="1" t="s">
        <v>74</v>
      </c>
      <c r="G11" s="1">
        <v>2007</v>
      </c>
      <c r="H11" s="1">
        <v>18024866</v>
      </c>
      <c r="I11" s="1" t="s">
        <v>101</v>
      </c>
      <c r="K11" s="1" t="s">
        <v>136</v>
      </c>
      <c r="L11" s="1" t="s">
        <v>100</v>
      </c>
      <c r="N11" s="1">
        <v>1</v>
      </c>
      <c r="U11" s="1">
        <v>68.400000000000006</v>
      </c>
      <c r="V11" s="1">
        <v>8.7999999999999995E-2</v>
      </c>
      <c r="W11" s="1">
        <v>0.82399999999999995</v>
      </c>
      <c r="X11" s="1">
        <v>8.7999999999999995E-2</v>
      </c>
      <c r="Y11" s="1">
        <v>0</v>
      </c>
      <c r="AE11" s="1">
        <v>0</v>
      </c>
      <c r="AF11" s="1">
        <f>76.6/12</f>
        <v>6.3833333333333329</v>
      </c>
      <c r="AG11" s="1" t="s">
        <v>135</v>
      </c>
      <c r="AH11" s="1">
        <v>1</v>
      </c>
      <c r="AK11" s="1" t="s">
        <v>10</v>
      </c>
      <c r="AL11" s="1" t="s">
        <v>75</v>
      </c>
      <c r="AM11" s="1">
        <v>1</v>
      </c>
      <c r="AN11" s="1">
        <v>0</v>
      </c>
      <c r="AO11" s="1" t="s">
        <v>76</v>
      </c>
      <c r="AP11" s="1" t="s">
        <v>129</v>
      </c>
      <c r="AQ11" s="1" t="s">
        <v>159</v>
      </c>
      <c r="AS11" s="1">
        <v>3.3</v>
      </c>
      <c r="AT11" s="1">
        <v>0.99</v>
      </c>
      <c r="AU11" s="1">
        <v>11.05</v>
      </c>
      <c r="AY11" s="1" t="s">
        <v>263</v>
      </c>
      <c r="BA11" s="1">
        <v>2.7</v>
      </c>
      <c r="BB11" s="1">
        <v>0.83</v>
      </c>
      <c r="BC11" s="1">
        <v>8.75</v>
      </c>
      <c r="BG11" s="1">
        <v>1</v>
      </c>
      <c r="BH11" s="1">
        <v>0</v>
      </c>
      <c r="BO11" s="1">
        <v>5</v>
      </c>
      <c r="BP11" s="1">
        <v>19</v>
      </c>
      <c r="BQ11" s="1">
        <v>17</v>
      </c>
      <c r="BR11" s="1">
        <v>9</v>
      </c>
      <c r="BS11" s="1">
        <v>46</v>
      </c>
      <c r="BT11" s="1">
        <v>101</v>
      </c>
      <c r="BU11" s="1" t="s">
        <v>167</v>
      </c>
      <c r="BW11" s="1" t="s">
        <v>274</v>
      </c>
      <c r="BZ11" s="1" t="s">
        <v>206</v>
      </c>
    </row>
    <row r="12" spans="1:79" s="7" customFormat="1">
      <c r="A12" s="7" t="s">
        <v>366</v>
      </c>
      <c r="B12" s="6">
        <v>1</v>
      </c>
      <c r="C12" s="7">
        <v>1</v>
      </c>
      <c r="D12" s="7">
        <v>11</v>
      </c>
      <c r="E12" s="7" t="s">
        <v>63</v>
      </c>
      <c r="G12" s="7">
        <v>2011</v>
      </c>
      <c r="H12" s="7">
        <v>20809362</v>
      </c>
      <c r="I12" s="7" t="s">
        <v>101</v>
      </c>
      <c r="K12" s="7" t="s">
        <v>165</v>
      </c>
      <c r="L12" s="7" t="s">
        <v>99</v>
      </c>
      <c r="N12" s="7">
        <v>1</v>
      </c>
      <c r="Q12" s="7">
        <f>(0.15*34+0.19*31+0.08*13+0.18*171+0.22*126+0.18*234+0.22*9)/(34+31+13+171+126+234+9)</f>
        <v>0.1854854368932039</v>
      </c>
      <c r="T12" s="7" t="s">
        <v>338</v>
      </c>
      <c r="U12" s="7">
        <f>(63.4*34+63.8*31+64.7*13+61.1*171+62.4*126+60.5*234+59.8*9)/(34+31+13+171+126+234+9)</f>
        <v>61.456634304207114</v>
      </c>
      <c r="AE12" s="7">
        <v>0</v>
      </c>
      <c r="AF12" s="7">
        <f>(6.8*34+4*31+4.1*13+5.9*171+4.3*126+6.1*234+4.7*9)/(34+31+13+171+126+234+9)</f>
        <v>5.5483818770226536</v>
      </c>
      <c r="AG12" s="7" t="s">
        <v>142</v>
      </c>
      <c r="AH12" s="7">
        <v>3</v>
      </c>
      <c r="AJ12" s="7">
        <v>7.5999999999999998E-2</v>
      </c>
      <c r="AK12" s="7" t="s">
        <v>6</v>
      </c>
      <c r="AL12" s="7" t="s">
        <v>64</v>
      </c>
      <c r="AM12" s="7">
        <v>1</v>
      </c>
      <c r="AN12" s="7">
        <v>0</v>
      </c>
      <c r="AO12" s="7" t="s">
        <v>166</v>
      </c>
      <c r="AP12" s="7" t="s">
        <v>129</v>
      </c>
      <c r="AQ12" s="7" t="s">
        <v>159</v>
      </c>
      <c r="AR12" s="7">
        <v>1</v>
      </c>
      <c r="AS12" s="7">
        <v>0.56000000000000005</v>
      </c>
      <c r="AT12" s="7">
        <v>0.22</v>
      </c>
      <c r="AU12" s="7">
        <v>1.45</v>
      </c>
      <c r="AY12" s="7" t="s">
        <v>369</v>
      </c>
      <c r="AZ12" s="7">
        <v>2</v>
      </c>
      <c r="BA12" s="7">
        <v>0.98</v>
      </c>
      <c r="BB12" s="7">
        <v>0.72</v>
      </c>
      <c r="BC12" s="7">
        <v>1.34</v>
      </c>
      <c r="BD12" s="7">
        <v>1.52</v>
      </c>
      <c r="BE12" s="7">
        <v>0.98</v>
      </c>
      <c r="BF12" s="7">
        <v>2.36</v>
      </c>
      <c r="BG12" s="7">
        <v>1</v>
      </c>
      <c r="BH12" s="7">
        <v>0</v>
      </c>
      <c r="BI12" s="7" t="s">
        <v>338</v>
      </c>
      <c r="BO12" s="7">
        <f>ROUND(0.12*34,0)</f>
        <v>4</v>
      </c>
      <c r="BP12" s="7">
        <f>ROUND(31*0.29+13*0+171*0.22,0)</f>
        <v>47</v>
      </c>
      <c r="BQ12" s="7">
        <f>ROUND(234*0.15+9*0.33+126*0.31,0)</f>
        <v>77</v>
      </c>
      <c r="BR12" s="7">
        <f>34-BO12</f>
        <v>30</v>
      </c>
      <c r="BS12" s="7">
        <f>(31+13+171)-BP12</f>
        <v>168</v>
      </c>
      <c r="BT12" s="7">
        <f>(234+9+126)-BQ12</f>
        <v>292</v>
      </c>
      <c r="BU12" s="7" t="s">
        <v>339</v>
      </c>
      <c r="BV12" s="7" t="s">
        <v>374</v>
      </c>
      <c r="BZ12" s="7" t="s">
        <v>207</v>
      </c>
      <c r="CA12" s="7" t="s">
        <v>208</v>
      </c>
    </row>
    <row r="13" spans="1:79" s="2" customFormat="1">
      <c r="A13" s="2" t="s">
        <v>366</v>
      </c>
      <c r="B13" s="6">
        <v>1</v>
      </c>
      <c r="C13" s="2">
        <v>1</v>
      </c>
      <c r="D13" s="2">
        <v>12</v>
      </c>
      <c r="E13" s="2" t="s">
        <v>77</v>
      </c>
      <c r="G13" s="2">
        <v>2007</v>
      </c>
      <c r="H13" s="2">
        <v>17244352</v>
      </c>
      <c r="I13" s="2" t="s">
        <v>101</v>
      </c>
      <c r="K13" s="2" t="s">
        <v>137</v>
      </c>
      <c r="L13" s="2" t="s">
        <v>99</v>
      </c>
      <c r="N13" s="2">
        <v>1</v>
      </c>
      <c r="O13" s="2" t="s">
        <v>138</v>
      </c>
      <c r="T13" s="2">
        <v>1</v>
      </c>
      <c r="U13" s="2">
        <v>69</v>
      </c>
      <c r="AF13" s="2">
        <v>7.3</v>
      </c>
      <c r="AG13" s="2" t="s">
        <v>164</v>
      </c>
      <c r="AH13" s="2">
        <v>1</v>
      </c>
      <c r="AK13" s="2" t="s">
        <v>6</v>
      </c>
      <c r="AL13" s="2" t="s">
        <v>11</v>
      </c>
      <c r="AM13" s="2">
        <v>1</v>
      </c>
      <c r="AN13" s="2">
        <v>0</v>
      </c>
      <c r="AO13" s="2" t="s">
        <v>8</v>
      </c>
      <c r="AP13" s="2" t="s">
        <v>129</v>
      </c>
      <c r="AQ13" s="2" t="s">
        <v>306</v>
      </c>
      <c r="AR13" s="2">
        <v>1</v>
      </c>
      <c r="AS13" s="2">
        <v>0.26350000000000001</v>
      </c>
      <c r="AT13" s="2">
        <v>6.787E-2</v>
      </c>
      <c r="AU13" s="2">
        <v>1.0232000000000001</v>
      </c>
      <c r="AY13" s="2" t="s">
        <v>219</v>
      </c>
      <c r="AZ13" s="2">
        <v>4</v>
      </c>
      <c r="BA13" s="2">
        <v>1.04</v>
      </c>
      <c r="BB13" s="2">
        <v>0.75900000000000001</v>
      </c>
      <c r="BC13" s="2">
        <v>1.4287000000000001</v>
      </c>
      <c r="BG13" s="2">
        <v>1</v>
      </c>
      <c r="BH13" s="2">
        <v>1</v>
      </c>
      <c r="BI13" s="2">
        <v>2</v>
      </c>
      <c r="BJ13" s="2">
        <v>42</v>
      </c>
      <c r="BK13" s="2">
        <v>103</v>
      </c>
      <c r="BL13" s="2">
        <f>35-BI13</f>
        <v>33</v>
      </c>
      <c r="BM13" s="2">
        <f>186-BJ13</f>
        <v>144</v>
      </c>
      <c r="BN13" s="2">
        <f>475-BK13</f>
        <v>372</v>
      </c>
      <c r="BU13" s="2" t="s">
        <v>340</v>
      </c>
      <c r="BZ13" s="2" t="s">
        <v>209</v>
      </c>
    </row>
    <row r="14" spans="1:79">
      <c r="D14">
        <v>13</v>
      </c>
      <c r="E14" t="s">
        <v>5</v>
      </c>
      <c r="F14" t="s">
        <v>285</v>
      </c>
      <c r="G14">
        <v>2020</v>
      </c>
      <c r="H14">
        <v>31932415</v>
      </c>
      <c r="I14" t="s">
        <v>98</v>
      </c>
      <c r="K14" t="s">
        <v>174</v>
      </c>
      <c r="L14" t="s">
        <v>100</v>
      </c>
      <c r="N14">
        <v>1</v>
      </c>
      <c r="O14" t="s">
        <v>275</v>
      </c>
      <c r="P14">
        <v>0.86</v>
      </c>
      <c r="Q14">
        <v>0.91</v>
      </c>
      <c r="R14">
        <v>0</v>
      </c>
      <c r="S14">
        <v>0</v>
      </c>
      <c r="T14">
        <v>0</v>
      </c>
      <c r="AD14">
        <v>0.44</v>
      </c>
      <c r="AE14">
        <v>0</v>
      </c>
      <c r="AG14" t="s">
        <v>175</v>
      </c>
      <c r="AH14" s="1">
        <v>3</v>
      </c>
      <c r="AK14" t="s">
        <v>6</v>
      </c>
      <c r="AL14" t="s">
        <v>7</v>
      </c>
      <c r="AM14">
        <v>1</v>
      </c>
      <c r="AN14">
        <v>0</v>
      </c>
      <c r="AO14" t="s">
        <v>80</v>
      </c>
      <c r="AQ14" t="s">
        <v>153</v>
      </c>
      <c r="AR14">
        <v>1</v>
      </c>
      <c r="AS14">
        <v>1.33</v>
      </c>
      <c r="AT14">
        <v>0.83</v>
      </c>
      <c r="AU14">
        <v>2.12</v>
      </c>
      <c r="AV14">
        <v>1.33</v>
      </c>
      <c r="AW14">
        <v>0.83</v>
      </c>
      <c r="AX14">
        <v>2.12</v>
      </c>
      <c r="AZ14">
        <v>0</v>
      </c>
      <c r="BG14">
        <v>0</v>
      </c>
      <c r="BH14">
        <v>0</v>
      </c>
      <c r="BW14" t="s">
        <v>176</v>
      </c>
    </row>
    <row r="15" spans="1:79">
      <c r="D15">
        <v>14</v>
      </c>
      <c r="E15" t="s">
        <v>182</v>
      </c>
      <c r="F15" t="s">
        <v>341</v>
      </c>
      <c r="G15">
        <v>2005</v>
      </c>
      <c r="H15">
        <v>16361630</v>
      </c>
      <c r="I15" t="s">
        <v>101</v>
      </c>
      <c r="K15" t="s">
        <v>276</v>
      </c>
      <c r="L15" t="s">
        <v>99</v>
      </c>
      <c r="N15">
        <v>1</v>
      </c>
      <c r="Q15">
        <v>0</v>
      </c>
      <c r="U15">
        <v>68</v>
      </c>
      <c r="AD15">
        <v>0.83</v>
      </c>
      <c r="AE15">
        <v>0</v>
      </c>
      <c r="AF15">
        <v>11.4</v>
      </c>
      <c r="AG15" t="s">
        <v>184</v>
      </c>
      <c r="AH15" s="1">
        <v>1</v>
      </c>
      <c r="AK15" t="s">
        <v>6</v>
      </c>
      <c r="AL15" t="s">
        <v>20</v>
      </c>
      <c r="AM15">
        <v>1</v>
      </c>
      <c r="AN15">
        <v>0</v>
      </c>
      <c r="AO15" t="s">
        <v>79</v>
      </c>
      <c r="AP15" t="s">
        <v>129</v>
      </c>
      <c r="AQ15" t="s">
        <v>185</v>
      </c>
      <c r="AR15">
        <v>3</v>
      </c>
      <c r="AS15">
        <v>2.71</v>
      </c>
      <c r="AT15">
        <v>1.1499999999999999</v>
      </c>
      <c r="AU15">
        <v>6.41</v>
      </c>
      <c r="AV15">
        <v>1.85</v>
      </c>
      <c r="AW15">
        <v>0.76</v>
      </c>
      <c r="AX15">
        <v>4.5199999999999996</v>
      </c>
      <c r="AZ15">
        <v>0</v>
      </c>
      <c r="BG15">
        <v>0</v>
      </c>
      <c r="BH15">
        <v>0</v>
      </c>
    </row>
    <row r="16" spans="1:79" s="2" customFormat="1">
      <c r="B16" s="2">
        <v>1</v>
      </c>
      <c r="C16" s="2">
        <v>1</v>
      </c>
      <c r="D16" s="2">
        <v>15</v>
      </c>
      <c r="E16" s="2" t="s">
        <v>183</v>
      </c>
      <c r="G16" s="2">
        <v>2013</v>
      </c>
      <c r="H16" s="2">
        <v>23213055</v>
      </c>
      <c r="I16" s="2" t="s">
        <v>98</v>
      </c>
      <c r="J16" s="2" t="s">
        <v>342</v>
      </c>
      <c r="K16" s="2" t="s">
        <v>277</v>
      </c>
      <c r="L16" s="2" t="s">
        <v>99</v>
      </c>
      <c r="M16" s="2">
        <v>5.8000000000000003E-2</v>
      </c>
      <c r="N16" s="2">
        <v>1</v>
      </c>
      <c r="O16" s="2">
        <v>5</v>
      </c>
      <c r="T16" s="2">
        <v>1</v>
      </c>
      <c r="U16" s="2">
        <v>66</v>
      </c>
      <c r="V16" s="2">
        <v>0.24299999999999999</v>
      </c>
      <c r="W16" s="2">
        <v>0.75700000000000001</v>
      </c>
      <c r="X16" s="2">
        <v>0</v>
      </c>
      <c r="Y16" s="2">
        <v>0</v>
      </c>
      <c r="Z16" s="2">
        <v>0.63100000000000001</v>
      </c>
      <c r="AA16" s="2">
        <v>0.36899999999999999</v>
      </c>
      <c r="AB16" s="2">
        <v>0</v>
      </c>
      <c r="AC16" s="2">
        <v>0</v>
      </c>
      <c r="AD16" s="2">
        <v>0.19500000000000001</v>
      </c>
      <c r="AE16" s="2">
        <v>0</v>
      </c>
      <c r="AF16" s="2">
        <v>5</v>
      </c>
      <c r="AG16" s="2" t="s">
        <v>278</v>
      </c>
      <c r="AH16" s="2">
        <v>3</v>
      </c>
      <c r="AI16" s="2" t="s">
        <v>186</v>
      </c>
      <c r="AK16" s="2" t="s">
        <v>6</v>
      </c>
      <c r="AL16" s="2" t="s">
        <v>44</v>
      </c>
      <c r="AM16" s="2">
        <v>1</v>
      </c>
      <c r="AN16" s="2">
        <v>0</v>
      </c>
      <c r="AO16" s="2" t="s">
        <v>38</v>
      </c>
      <c r="AP16" s="2" t="s">
        <v>130</v>
      </c>
      <c r="AQ16" s="2" t="s">
        <v>187</v>
      </c>
      <c r="AR16" s="2">
        <v>1</v>
      </c>
      <c r="AV16" s="2">
        <v>2.4500000000000002</v>
      </c>
      <c r="AW16" s="2">
        <v>1.05</v>
      </c>
      <c r="AX16" s="2">
        <v>5.73</v>
      </c>
      <c r="AY16" s="2" t="s">
        <v>279</v>
      </c>
      <c r="AZ16" s="2">
        <v>4</v>
      </c>
      <c r="BD16" s="2">
        <v>1.496</v>
      </c>
      <c r="BE16" s="2">
        <v>0.95299999999999996</v>
      </c>
      <c r="BF16" s="2">
        <v>2.3479999999999999</v>
      </c>
      <c r="BG16" s="2">
        <v>0</v>
      </c>
      <c r="BH16" s="2">
        <v>0</v>
      </c>
      <c r="BW16" s="2" t="s">
        <v>280</v>
      </c>
    </row>
    <row r="17" spans="1:78" s="2" customFormat="1">
      <c r="C17" s="2">
        <v>1</v>
      </c>
      <c r="D17" s="2">
        <v>16</v>
      </c>
      <c r="E17" s="2" t="s">
        <v>65</v>
      </c>
      <c r="G17" s="2">
        <v>2010</v>
      </c>
      <c r="H17" s="2">
        <v>20459744</v>
      </c>
      <c r="I17" s="2" t="s">
        <v>101</v>
      </c>
      <c r="J17" s="2" t="s">
        <v>343</v>
      </c>
      <c r="K17" s="2" t="s">
        <v>134</v>
      </c>
      <c r="Q17" s="2">
        <v>1</v>
      </c>
      <c r="T17" s="2">
        <v>0.31</v>
      </c>
      <c r="U17" s="2">
        <v>45</v>
      </c>
      <c r="AF17" s="2">
        <v>9.8000000000000007</v>
      </c>
      <c r="AG17" s="2" t="s">
        <v>281</v>
      </c>
      <c r="AH17" s="2">
        <v>3</v>
      </c>
      <c r="AK17" s="2" t="s">
        <v>10</v>
      </c>
      <c r="AL17" s="2" t="s">
        <v>17</v>
      </c>
      <c r="AM17" s="2">
        <v>1</v>
      </c>
      <c r="AN17" s="2">
        <v>0</v>
      </c>
      <c r="AO17" s="2" t="s">
        <v>8</v>
      </c>
      <c r="AP17" s="2" t="s">
        <v>129</v>
      </c>
      <c r="AQ17" s="2" t="s">
        <v>153</v>
      </c>
      <c r="AR17" s="2">
        <v>1</v>
      </c>
      <c r="AS17" s="2">
        <v>0.89</v>
      </c>
      <c r="AT17" s="2">
        <v>0.48</v>
      </c>
      <c r="AU17" s="2">
        <v>1.65</v>
      </c>
      <c r="AV17" s="2">
        <v>0.99</v>
      </c>
      <c r="AW17" s="2">
        <v>0.5</v>
      </c>
      <c r="AX17" s="2">
        <v>1.99</v>
      </c>
      <c r="AY17" s="2" t="s">
        <v>282</v>
      </c>
      <c r="AZ17" s="2">
        <v>4</v>
      </c>
      <c r="BA17" s="2">
        <v>1.07</v>
      </c>
      <c r="BB17" s="2">
        <v>0.56999999999999995</v>
      </c>
      <c r="BC17" s="2">
        <v>2.0299999999999998</v>
      </c>
      <c r="BD17" s="2">
        <v>0.94</v>
      </c>
      <c r="BE17" s="2">
        <v>0.46</v>
      </c>
      <c r="BF17" s="2">
        <v>1.94</v>
      </c>
      <c r="BG17" s="2">
        <v>0</v>
      </c>
      <c r="BH17" s="2">
        <v>0</v>
      </c>
    </row>
    <row r="18" spans="1:78" s="5" customFormat="1">
      <c r="D18" s="5">
        <v>17</v>
      </c>
      <c r="E18" s="5" t="s">
        <v>27</v>
      </c>
      <c r="F18" s="5" t="s">
        <v>341</v>
      </c>
      <c r="G18" s="5">
        <v>2017</v>
      </c>
      <c r="H18" s="5">
        <v>28730340</v>
      </c>
      <c r="I18" s="5" t="s">
        <v>101</v>
      </c>
      <c r="K18" s="5" t="s">
        <v>196</v>
      </c>
      <c r="L18" s="5" t="s">
        <v>99</v>
      </c>
      <c r="N18" s="5">
        <v>1</v>
      </c>
      <c r="Q18" s="5">
        <v>0</v>
      </c>
      <c r="U18" s="5">
        <v>66</v>
      </c>
      <c r="AE18" s="5">
        <v>1</v>
      </c>
      <c r="AF18" s="5">
        <f>110.7/12</f>
        <v>9.2249999999999996</v>
      </c>
      <c r="AG18" s="5" t="s">
        <v>283</v>
      </c>
      <c r="AH18" s="5">
        <v>3</v>
      </c>
      <c r="AK18" s="5" t="s">
        <v>6</v>
      </c>
      <c r="AL18" s="5" t="s">
        <v>20</v>
      </c>
      <c r="AM18" s="5">
        <v>1</v>
      </c>
      <c r="AN18" s="5">
        <v>0</v>
      </c>
      <c r="AO18" s="5" t="s">
        <v>28</v>
      </c>
      <c r="AP18" s="5" t="s">
        <v>129</v>
      </c>
      <c r="AQ18" s="5" t="s">
        <v>198</v>
      </c>
      <c r="AR18" s="5">
        <v>3</v>
      </c>
      <c r="AS18" s="5">
        <f>1/0.68</f>
        <v>1.4705882352941175</v>
      </c>
      <c r="AT18" s="5">
        <f>1/1.4</f>
        <v>0.7142857142857143</v>
      </c>
      <c r="AU18" s="5">
        <f>1/0.33</f>
        <v>3.0303030303030303</v>
      </c>
      <c r="AV18" s="5">
        <f>1/1.11</f>
        <v>0.9009009009009008</v>
      </c>
      <c r="AW18" s="5">
        <f>1/2.44</f>
        <v>0.4098360655737705</v>
      </c>
      <c r="AX18" s="5">
        <f>1/0.5</f>
        <v>2</v>
      </c>
      <c r="AZ18" s="5">
        <v>0</v>
      </c>
      <c r="BG18" s="5">
        <v>0</v>
      </c>
      <c r="BH18" s="5">
        <v>0</v>
      </c>
      <c r="BU18" s="5" t="s">
        <v>197</v>
      </c>
      <c r="BV18" s="5" t="s">
        <v>284</v>
      </c>
      <c r="BW18" s="5" t="s">
        <v>344</v>
      </c>
    </row>
    <row r="19" spans="1:78" s="2" customFormat="1">
      <c r="C19" s="2">
        <v>1</v>
      </c>
      <c r="D19" s="2">
        <v>18</v>
      </c>
      <c r="E19" s="2" t="s">
        <v>34</v>
      </c>
      <c r="G19" s="2">
        <v>2016</v>
      </c>
      <c r="H19" s="2">
        <v>27484880</v>
      </c>
      <c r="I19" s="2" t="s">
        <v>101</v>
      </c>
      <c r="J19" s="2" t="s">
        <v>345</v>
      </c>
      <c r="N19" s="2">
        <v>1</v>
      </c>
      <c r="O19" s="2" t="s">
        <v>286</v>
      </c>
      <c r="T19" s="2">
        <f>(52+154)/(163+204)</f>
        <v>0.56130790190735691</v>
      </c>
      <c r="U19" s="2">
        <f>(49*163+54*204)/(163+204)</f>
        <v>51.779291553133518</v>
      </c>
      <c r="AE19" s="2">
        <v>0</v>
      </c>
      <c r="AF19" s="2">
        <v>12</v>
      </c>
      <c r="AG19" s="2" t="s">
        <v>105</v>
      </c>
      <c r="AH19" s="2">
        <v>1</v>
      </c>
      <c r="AK19" s="2" t="s">
        <v>10</v>
      </c>
      <c r="AL19" s="2" t="s">
        <v>17</v>
      </c>
      <c r="AM19" s="2">
        <v>1</v>
      </c>
      <c r="AN19" s="2">
        <v>0</v>
      </c>
      <c r="AO19" s="2" t="s">
        <v>35</v>
      </c>
      <c r="AP19" s="2" t="s">
        <v>129</v>
      </c>
      <c r="AQ19" s="2" t="s">
        <v>193</v>
      </c>
      <c r="AR19" s="2">
        <v>2</v>
      </c>
      <c r="AV19" s="2">
        <f>1/0.48</f>
        <v>2.0833333333333335</v>
      </c>
      <c r="AW19" s="2">
        <f>1/1.05</f>
        <v>0.95238095238095233</v>
      </c>
      <c r="AX19" s="2">
        <f>1/0.22</f>
        <v>4.5454545454545459</v>
      </c>
      <c r="AZ19" s="2">
        <v>0</v>
      </c>
      <c r="BG19" s="2">
        <v>0</v>
      </c>
      <c r="BH19" s="2">
        <v>0</v>
      </c>
      <c r="BU19" s="2" t="s">
        <v>195</v>
      </c>
      <c r="BW19" s="2" t="s">
        <v>287</v>
      </c>
    </row>
    <row r="20" spans="1:78" s="2" customFormat="1">
      <c r="C20" s="2">
        <v>1</v>
      </c>
      <c r="D20" s="2">
        <v>19</v>
      </c>
      <c r="E20" s="2" t="s">
        <v>19</v>
      </c>
      <c r="G20" s="2">
        <v>2019</v>
      </c>
      <c r="H20" s="2">
        <v>30542984</v>
      </c>
      <c r="I20" s="2" t="s">
        <v>101</v>
      </c>
      <c r="J20" s="2" t="s">
        <v>346</v>
      </c>
      <c r="K20" s="2" t="s">
        <v>288</v>
      </c>
      <c r="L20" s="2" t="s">
        <v>99</v>
      </c>
      <c r="N20" s="2">
        <v>1</v>
      </c>
      <c r="O20" s="2">
        <f>57/12</f>
        <v>4.75</v>
      </c>
      <c r="P20" s="2">
        <v>0.69199999999999995</v>
      </c>
      <c r="Q20" s="2">
        <v>0.30099999999999999</v>
      </c>
      <c r="T20" s="2">
        <v>0.84799999999999998</v>
      </c>
      <c r="U20" s="2">
        <f>(54+45)/2*0.213+(69+55)/2*0.449+(79+70)/2*0.339</f>
        <v>63.637</v>
      </c>
      <c r="V20" s="2">
        <v>0.17699999999999999</v>
      </c>
      <c r="W20" s="2">
        <v>0.45400000000000001</v>
      </c>
      <c r="X20" s="2">
        <v>0.311</v>
      </c>
      <c r="Y20" s="2">
        <v>5.7000000000000002E-2</v>
      </c>
      <c r="AE20" s="2">
        <v>0</v>
      </c>
      <c r="AF20" s="2">
        <v>9.6999999999999993</v>
      </c>
      <c r="AG20" s="2" t="s">
        <v>192</v>
      </c>
      <c r="AH20" s="2">
        <v>1</v>
      </c>
      <c r="AJ20" s="2">
        <v>0</v>
      </c>
      <c r="AK20" s="2" t="s">
        <v>10</v>
      </c>
      <c r="AL20" s="2" t="s">
        <v>20</v>
      </c>
      <c r="AM20" s="2">
        <v>1</v>
      </c>
      <c r="AN20" s="2">
        <v>0</v>
      </c>
      <c r="AO20" s="2" t="s">
        <v>21</v>
      </c>
      <c r="AP20" s="2" t="s">
        <v>129</v>
      </c>
      <c r="AQ20" s="2" t="s">
        <v>193</v>
      </c>
      <c r="AR20" s="2">
        <v>2</v>
      </c>
      <c r="AV20" s="2">
        <v>1.4</v>
      </c>
      <c r="AW20" s="2">
        <v>0.7</v>
      </c>
      <c r="AX20" s="2">
        <v>2.8</v>
      </c>
      <c r="AZ20" s="2">
        <v>0</v>
      </c>
      <c r="BG20" s="2">
        <v>0</v>
      </c>
      <c r="BH20" s="2">
        <v>0</v>
      </c>
      <c r="BU20" s="2" t="s">
        <v>289</v>
      </c>
    </row>
    <row r="21" spans="1:78" s="2" customFormat="1">
      <c r="C21" s="2">
        <v>1</v>
      </c>
      <c r="D21" s="2">
        <v>20</v>
      </c>
      <c r="E21" s="2" t="s">
        <v>49</v>
      </c>
      <c r="G21" s="2">
        <v>2012</v>
      </c>
      <c r="H21" s="2">
        <v>21823108</v>
      </c>
      <c r="I21" s="2" t="s">
        <v>98</v>
      </c>
      <c r="L21" s="2">
        <v>0.95799999999999996</v>
      </c>
      <c r="M21" s="2">
        <v>0.1</v>
      </c>
      <c r="N21" s="2">
        <v>1</v>
      </c>
      <c r="T21" s="2">
        <v>0.79200000000000004</v>
      </c>
      <c r="U21" s="2">
        <v>58</v>
      </c>
      <c r="Z21" s="2">
        <v>0.78800000000000003</v>
      </c>
      <c r="AA21" s="2">
        <v>0.21199999999999999</v>
      </c>
      <c r="AB21" s="2">
        <v>0</v>
      </c>
      <c r="AC21" s="2">
        <v>0</v>
      </c>
      <c r="AE21" s="2">
        <v>0</v>
      </c>
      <c r="AF21" s="2">
        <v>9</v>
      </c>
      <c r="AG21" s="2" t="s">
        <v>105</v>
      </c>
      <c r="AH21" s="2">
        <v>1</v>
      </c>
      <c r="AI21" s="2" t="s">
        <v>194</v>
      </c>
      <c r="AK21" s="2" t="s">
        <v>10</v>
      </c>
      <c r="AL21" s="2" t="s">
        <v>20</v>
      </c>
      <c r="AM21" s="2">
        <v>1</v>
      </c>
      <c r="AN21" s="2">
        <v>0</v>
      </c>
      <c r="AO21" s="2" t="s">
        <v>18</v>
      </c>
      <c r="AP21" s="2" t="s">
        <v>168</v>
      </c>
      <c r="AQ21" s="2" t="s">
        <v>193</v>
      </c>
      <c r="AR21" s="2">
        <v>2</v>
      </c>
      <c r="AS21" s="2">
        <v>1</v>
      </c>
      <c r="AT21" s="2">
        <v>0.3</v>
      </c>
      <c r="AU21" s="2">
        <v>3.34</v>
      </c>
      <c r="AV21" s="2">
        <v>2.67</v>
      </c>
      <c r="AW21" s="2">
        <v>0.47</v>
      </c>
      <c r="AX21" s="2">
        <v>15.27</v>
      </c>
      <c r="AZ21" s="2">
        <v>0</v>
      </c>
      <c r="BG21" s="2">
        <v>0</v>
      </c>
      <c r="BH21" s="2">
        <v>0</v>
      </c>
      <c r="BU21" s="2" t="s">
        <v>291</v>
      </c>
      <c r="BW21" s="2" t="s">
        <v>290</v>
      </c>
      <c r="BX21" s="2" t="s">
        <v>292</v>
      </c>
    </row>
    <row r="22" spans="1:78" s="6" customFormat="1">
      <c r="C22" s="6">
        <v>1</v>
      </c>
      <c r="D22" s="6">
        <v>21</v>
      </c>
      <c r="E22" s="6" t="s">
        <v>78</v>
      </c>
      <c r="G22" s="6">
        <v>2005</v>
      </c>
      <c r="H22" s="6">
        <v>15952058</v>
      </c>
      <c r="I22" s="6" t="s">
        <v>101</v>
      </c>
      <c r="J22" s="6" t="s">
        <v>347</v>
      </c>
      <c r="K22" s="6" t="s">
        <v>179</v>
      </c>
      <c r="L22" s="6">
        <v>0.67</v>
      </c>
      <c r="M22" s="6" t="s">
        <v>139</v>
      </c>
      <c r="N22" s="6">
        <v>1</v>
      </c>
      <c r="P22" s="6">
        <f>(37+32)/(32+37+48+48)</f>
        <v>0.41818181818181815</v>
      </c>
      <c r="Q22" s="6">
        <f>(48+32)/(48+32+37+48)</f>
        <v>0.48484848484848486</v>
      </c>
      <c r="Z22" s="6">
        <v>0.31</v>
      </c>
      <c r="AA22" s="6">
        <v>0.49</v>
      </c>
      <c r="AB22" s="6">
        <v>0.15</v>
      </c>
      <c r="AC22" s="6">
        <v>0.05</v>
      </c>
      <c r="AE22" s="6">
        <v>1</v>
      </c>
      <c r="AF22" s="6">
        <v>4.58</v>
      </c>
      <c r="AG22" s="6" t="s">
        <v>106</v>
      </c>
      <c r="AH22" s="6">
        <v>3</v>
      </c>
      <c r="AK22" s="6" t="s">
        <v>10</v>
      </c>
      <c r="AL22" s="6" t="s">
        <v>20</v>
      </c>
      <c r="AM22" s="6">
        <v>1</v>
      </c>
      <c r="AN22" s="6">
        <v>0</v>
      </c>
      <c r="AO22" s="6" t="s">
        <v>180</v>
      </c>
      <c r="AP22" s="6" t="s">
        <v>129</v>
      </c>
      <c r="AQ22" s="6" t="s">
        <v>181</v>
      </c>
      <c r="AR22" s="6">
        <v>2</v>
      </c>
      <c r="AS22" s="6">
        <v>0.61</v>
      </c>
      <c r="AT22" s="6">
        <v>0.33</v>
      </c>
      <c r="AU22" s="6">
        <v>1.1299999999999999</v>
      </c>
      <c r="AV22" s="6">
        <v>0.67</v>
      </c>
      <c r="AW22" s="6">
        <v>0.33</v>
      </c>
      <c r="AX22" s="6">
        <v>1.35</v>
      </c>
      <c r="AZ22" s="6">
        <v>0</v>
      </c>
      <c r="BG22" s="6">
        <v>0</v>
      </c>
      <c r="BH22" s="6">
        <v>0</v>
      </c>
      <c r="BU22" s="6" t="s">
        <v>372</v>
      </c>
      <c r="BV22" s="6" t="s">
        <v>293</v>
      </c>
      <c r="BY22" s="6" t="s">
        <v>348</v>
      </c>
    </row>
    <row r="23" spans="1:78" s="2" customFormat="1">
      <c r="C23" s="2">
        <v>1</v>
      </c>
      <c r="D23" s="2">
        <v>22</v>
      </c>
      <c r="E23" s="2" t="s">
        <v>58</v>
      </c>
      <c r="G23" s="2">
        <v>2012</v>
      </c>
      <c r="H23" s="2">
        <v>22395643</v>
      </c>
      <c r="I23" s="2" t="s">
        <v>101</v>
      </c>
      <c r="J23" s="2" t="s">
        <v>349</v>
      </c>
      <c r="K23" s="2" t="s">
        <v>127</v>
      </c>
      <c r="L23" s="2" t="s">
        <v>104</v>
      </c>
      <c r="N23" s="2">
        <v>1</v>
      </c>
      <c r="O23" s="2" t="s">
        <v>141</v>
      </c>
      <c r="P23" s="2">
        <v>0.69699999999999995</v>
      </c>
      <c r="Q23" s="2">
        <v>4.2999999999999997E-2</v>
      </c>
      <c r="T23" s="2">
        <v>1</v>
      </c>
      <c r="V23" s="2">
        <v>0.22800000000000001</v>
      </c>
      <c r="W23" s="2">
        <v>0.54900000000000004</v>
      </c>
      <c r="X23" s="2">
        <v>0.187</v>
      </c>
      <c r="Y23" s="2">
        <v>0</v>
      </c>
      <c r="AD23" s="2">
        <v>0.38100000000000001</v>
      </c>
      <c r="AE23" s="2">
        <v>0</v>
      </c>
      <c r="AF23" s="2">
        <v>10</v>
      </c>
      <c r="AG23" s="2" t="s">
        <v>128</v>
      </c>
      <c r="AH23" s="2">
        <v>1</v>
      </c>
      <c r="AJ23" s="2" t="s">
        <v>126</v>
      </c>
      <c r="AK23" s="2" t="s">
        <v>6</v>
      </c>
      <c r="AL23" s="2" t="s">
        <v>210</v>
      </c>
      <c r="AM23" s="2">
        <v>1</v>
      </c>
      <c r="AN23" s="2">
        <v>0</v>
      </c>
      <c r="AO23" s="2" t="s">
        <v>28</v>
      </c>
      <c r="AP23" s="2" t="s">
        <v>129</v>
      </c>
      <c r="AQ23" s="2" t="s">
        <v>160</v>
      </c>
      <c r="AR23" s="2">
        <v>1</v>
      </c>
      <c r="AV23" s="2">
        <f>1/0.99</f>
        <v>1.0101010101010102</v>
      </c>
      <c r="AW23" s="2">
        <f>1/2.08</f>
        <v>0.48076923076923073</v>
      </c>
      <c r="AX23" s="2">
        <f>1/0.48</f>
        <v>2.0833333333333335</v>
      </c>
      <c r="AZ23" s="2">
        <v>0</v>
      </c>
      <c r="BG23" s="2">
        <v>0</v>
      </c>
      <c r="BH23" s="2">
        <v>0</v>
      </c>
      <c r="BU23" s="2" t="s">
        <v>132</v>
      </c>
      <c r="BV23" s="2" t="s">
        <v>309</v>
      </c>
      <c r="BZ23" s="2" t="s">
        <v>211</v>
      </c>
    </row>
    <row r="24" spans="1:78" s="2" customFormat="1">
      <c r="C24" s="2">
        <v>1</v>
      </c>
      <c r="D24" s="2">
        <v>23</v>
      </c>
      <c r="E24" s="2" t="s">
        <v>16</v>
      </c>
      <c r="G24" s="2">
        <v>2019</v>
      </c>
      <c r="H24" s="2">
        <v>30676859</v>
      </c>
      <c r="I24" s="2" t="s">
        <v>101</v>
      </c>
      <c r="J24" s="2" t="s">
        <v>350</v>
      </c>
      <c r="K24" s="2" t="s">
        <v>188</v>
      </c>
      <c r="L24" s="2" t="s">
        <v>99</v>
      </c>
      <c r="M24" s="2">
        <f>(86+16+28+80+19+24)/(322+316)</f>
        <v>0.39655172413793105</v>
      </c>
      <c r="N24" s="2">
        <v>1</v>
      </c>
      <c r="O24" s="2">
        <v>2.5</v>
      </c>
      <c r="P24" s="2">
        <f>(210+231)/(322+316)</f>
        <v>0.69122257053291536</v>
      </c>
      <c r="Q24" s="2">
        <f>(193+200)/(322+316)</f>
        <v>0.61598746081504707</v>
      </c>
      <c r="U24" s="2">
        <f>(57*322+55.4*316)/(322+316)</f>
        <v>56.207523510971775</v>
      </c>
      <c r="V24" s="2">
        <f>(43+44)/(322+316)</f>
        <v>0.13636363636363635</v>
      </c>
      <c r="W24" s="2">
        <f>(186+173)/(322+316)</f>
        <v>0.56269592476489028</v>
      </c>
      <c r="X24" s="2">
        <f>(90+95)/(322+316)</f>
        <v>0.28996865203761757</v>
      </c>
      <c r="Y24" s="2">
        <v>0</v>
      </c>
      <c r="Z24" s="2">
        <f>(163+175)/(322+316)</f>
        <v>0.52978056426332287</v>
      </c>
      <c r="AA24" s="2">
        <f>(142+122)/(322+316)</f>
        <v>0.41379310344827586</v>
      </c>
      <c r="AB24" s="2">
        <f>(13+14)/(322+316)</f>
        <v>4.2319749216300939E-2</v>
      </c>
      <c r="AD24" s="2">
        <f>(146+150)/638</f>
        <v>0.46394984326018807</v>
      </c>
      <c r="AE24" s="2">
        <v>0</v>
      </c>
      <c r="AF24" s="2">
        <v>6.4</v>
      </c>
      <c r="AG24" s="2" t="s">
        <v>189</v>
      </c>
      <c r="AH24" s="2">
        <v>1</v>
      </c>
      <c r="AK24" s="2" t="s">
        <v>10</v>
      </c>
      <c r="AL24" s="2" t="s">
        <v>17</v>
      </c>
      <c r="AM24" s="2">
        <v>1</v>
      </c>
      <c r="AN24" s="2">
        <v>0</v>
      </c>
      <c r="AO24" s="2" t="s">
        <v>18</v>
      </c>
      <c r="AP24" s="2" t="s">
        <v>129</v>
      </c>
      <c r="AQ24" s="2" t="s">
        <v>190</v>
      </c>
      <c r="AR24" s="2">
        <v>2</v>
      </c>
      <c r="AS24" s="2">
        <v>1.02</v>
      </c>
      <c r="AT24" s="2">
        <v>0.58899999999999997</v>
      </c>
      <c r="AU24" s="2">
        <v>1.7669999999999999</v>
      </c>
      <c r="AV24" s="2">
        <v>0.92900000000000005</v>
      </c>
      <c r="AW24" s="2">
        <v>0.52500000000000002</v>
      </c>
      <c r="AX24" s="2">
        <v>1.6419999999999999</v>
      </c>
      <c r="AZ24" s="2">
        <v>0</v>
      </c>
      <c r="BG24" s="2">
        <v>0</v>
      </c>
      <c r="BH24" s="2">
        <v>0</v>
      </c>
      <c r="BU24" s="2" t="s">
        <v>191</v>
      </c>
      <c r="BW24" s="2" t="s">
        <v>83</v>
      </c>
    </row>
    <row r="25" spans="1:78" s="8" customFormat="1">
      <c r="A25" s="8" t="s">
        <v>367</v>
      </c>
      <c r="B25" s="8">
        <v>1</v>
      </c>
      <c r="C25" s="8">
        <v>1</v>
      </c>
      <c r="D25" s="8">
        <v>24</v>
      </c>
      <c r="E25" s="8" t="s">
        <v>42</v>
      </c>
      <c r="G25" s="8">
        <v>2013</v>
      </c>
      <c r="H25" s="8">
        <v>23776391</v>
      </c>
      <c r="I25" s="8" t="s">
        <v>101</v>
      </c>
      <c r="K25" s="8" t="s">
        <v>212</v>
      </c>
      <c r="L25" s="8" t="s">
        <v>213</v>
      </c>
      <c r="M25" s="8">
        <f>2/57</f>
        <v>3.5087719298245612E-2</v>
      </c>
      <c r="N25" s="8">
        <v>1</v>
      </c>
      <c r="O25" s="8" t="s">
        <v>141</v>
      </c>
      <c r="P25" s="8">
        <f>26/57</f>
        <v>0.45614035087719296</v>
      </c>
      <c r="Q25" s="8">
        <f>54/57</f>
        <v>0.94736842105263153</v>
      </c>
      <c r="T25" s="8">
        <f>19/57</f>
        <v>0.33333333333333331</v>
      </c>
      <c r="U25" s="8">
        <v>48.9</v>
      </c>
      <c r="V25" s="8">
        <f>5/57</f>
        <v>8.771929824561403E-2</v>
      </c>
      <c r="W25" s="8">
        <f>24/57</f>
        <v>0.42105263157894735</v>
      </c>
      <c r="X25" s="8">
        <f>10/57</f>
        <v>0.17543859649122806</v>
      </c>
      <c r="Y25" s="8">
        <v>0</v>
      </c>
      <c r="AE25" s="8">
        <v>0</v>
      </c>
      <c r="AF25" s="8">
        <f>93.5/12</f>
        <v>7.791666666666667</v>
      </c>
      <c r="AG25" s="8" t="s">
        <v>105</v>
      </c>
      <c r="AH25" s="8">
        <v>1</v>
      </c>
      <c r="AK25" s="8" t="s">
        <v>10</v>
      </c>
      <c r="AL25" s="8" t="s">
        <v>43</v>
      </c>
      <c r="AM25" s="8">
        <v>0</v>
      </c>
      <c r="AN25" s="8">
        <v>1</v>
      </c>
      <c r="AO25" s="8" t="s">
        <v>214</v>
      </c>
      <c r="AP25" s="8" t="s">
        <v>129</v>
      </c>
      <c r="AQ25" s="8" t="s">
        <v>219</v>
      </c>
      <c r="AR25" s="8">
        <v>4</v>
      </c>
      <c r="AS25" s="8">
        <v>1.26</v>
      </c>
      <c r="AT25" s="8">
        <v>0.82</v>
      </c>
      <c r="AU25" s="8">
        <v>1.95</v>
      </c>
      <c r="BG25" s="8">
        <v>0</v>
      </c>
      <c r="BH25" s="8">
        <v>0</v>
      </c>
      <c r="BO25" s="8">
        <v>0</v>
      </c>
      <c r="BP25" s="8">
        <v>14</v>
      </c>
      <c r="BQ25" s="8">
        <v>19</v>
      </c>
      <c r="BR25" s="8">
        <v>0</v>
      </c>
      <c r="BS25" s="8">
        <v>7</v>
      </c>
      <c r="BT25" s="8">
        <v>17</v>
      </c>
      <c r="BU25" s="8" t="s">
        <v>375</v>
      </c>
      <c r="BW25" s="8" t="s">
        <v>215</v>
      </c>
    </row>
    <row r="26" spans="1:78" s="1" customFormat="1">
      <c r="B26" s="6">
        <v>1</v>
      </c>
      <c r="C26" s="1">
        <v>1</v>
      </c>
      <c r="D26" s="1">
        <v>25</v>
      </c>
      <c r="E26" s="1" t="s">
        <v>29</v>
      </c>
      <c r="F26" s="1" t="s">
        <v>295</v>
      </c>
      <c r="G26" s="1">
        <v>2016</v>
      </c>
      <c r="H26" s="1">
        <v>27882219</v>
      </c>
      <c r="I26" s="1" t="s">
        <v>98</v>
      </c>
      <c r="K26" s="1" t="s">
        <v>220</v>
      </c>
      <c r="L26" s="1" t="s">
        <v>99</v>
      </c>
      <c r="N26" s="1">
        <v>1</v>
      </c>
      <c r="O26" s="1" t="s">
        <v>141</v>
      </c>
      <c r="T26" s="1">
        <v>0.375</v>
      </c>
      <c r="U26" s="1">
        <v>50.7</v>
      </c>
      <c r="Z26" s="1">
        <f>6/40</f>
        <v>0.15</v>
      </c>
      <c r="AA26" s="1">
        <f>24/40</f>
        <v>0.6</v>
      </c>
      <c r="AB26" s="1">
        <f>10/40</f>
        <v>0.25</v>
      </c>
      <c r="AC26" s="1">
        <v>0</v>
      </c>
      <c r="AE26" s="1">
        <v>0</v>
      </c>
      <c r="AF26" s="1">
        <v>5</v>
      </c>
      <c r="AG26" s="1" t="s">
        <v>221</v>
      </c>
      <c r="AH26" s="1">
        <v>1</v>
      </c>
      <c r="AK26" s="1" t="s">
        <v>10</v>
      </c>
      <c r="AL26" s="1" t="s">
        <v>30</v>
      </c>
      <c r="AM26" s="1">
        <v>1</v>
      </c>
      <c r="AN26" s="1">
        <v>0</v>
      </c>
      <c r="AO26" s="1" t="s">
        <v>31</v>
      </c>
      <c r="BG26" s="1">
        <v>1</v>
      </c>
      <c r="BH26" s="1">
        <v>0</v>
      </c>
      <c r="BO26" s="1">
        <v>1</v>
      </c>
      <c r="BP26" s="1">
        <v>13</v>
      </c>
      <c r="BQ26" s="1">
        <v>26</v>
      </c>
      <c r="BR26" s="1">
        <v>1</v>
      </c>
      <c r="BS26" s="1">
        <v>8</v>
      </c>
      <c r="BT26" s="1">
        <v>31</v>
      </c>
      <c r="BU26" s="1" t="s">
        <v>294</v>
      </c>
      <c r="BW26" s="1" t="s">
        <v>81</v>
      </c>
    </row>
    <row r="27" spans="1:78" s="1" customFormat="1">
      <c r="B27" s="1">
        <v>1</v>
      </c>
      <c r="C27" s="1">
        <v>1</v>
      </c>
      <c r="D27" s="1">
        <v>26</v>
      </c>
      <c r="E27" s="1" t="s">
        <v>303</v>
      </c>
      <c r="F27" s="10"/>
      <c r="G27" s="1">
        <v>2022</v>
      </c>
      <c r="H27" s="11">
        <v>36243690</v>
      </c>
      <c r="I27" s="11" t="s">
        <v>101</v>
      </c>
      <c r="J27" s="11"/>
      <c r="K27" s="11">
        <v>2019</v>
      </c>
      <c r="L27" s="11" t="s">
        <v>156</v>
      </c>
      <c r="M27" s="11"/>
      <c r="N27" s="11">
        <v>1</v>
      </c>
      <c r="O27" s="11"/>
      <c r="P27" s="11">
        <v>0.876</v>
      </c>
      <c r="Q27" s="11">
        <v>0.98899999999999999</v>
      </c>
      <c r="R27" s="11"/>
      <c r="S27" s="11"/>
      <c r="T27" s="11">
        <v>0.53600000000000003</v>
      </c>
      <c r="U27" s="11">
        <v>48.81</v>
      </c>
      <c r="V27" s="11"/>
      <c r="W27" s="11"/>
      <c r="X27" s="11"/>
      <c r="Y27" s="11"/>
      <c r="Z27" s="11"/>
      <c r="AA27" s="11"/>
      <c r="AB27" s="11"/>
      <c r="AC27" s="11"/>
      <c r="AD27" s="11">
        <v>0.91800000000000004</v>
      </c>
      <c r="AE27" s="11">
        <v>0</v>
      </c>
      <c r="AF27" s="11">
        <v>5</v>
      </c>
      <c r="AG27" s="11" t="s">
        <v>105</v>
      </c>
      <c r="AH27" s="11">
        <v>1</v>
      </c>
      <c r="AI27" s="11"/>
      <c r="AJ27" s="11"/>
      <c r="AK27" s="1" t="s">
        <v>10</v>
      </c>
      <c r="AL27" s="1" t="s">
        <v>84</v>
      </c>
      <c r="AM27" s="1">
        <v>1</v>
      </c>
      <c r="AN27" s="1">
        <v>0</v>
      </c>
      <c r="AO27" s="1" t="s">
        <v>222</v>
      </c>
      <c r="AP27" s="1" t="s">
        <v>129</v>
      </c>
      <c r="AQ27" s="1" t="s">
        <v>187</v>
      </c>
      <c r="AR27" s="1">
        <v>1</v>
      </c>
      <c r="AS27" s="1">
        <v>1.7333000000000001</v>
      </c>
      <c r="AT27" s="1">
        <v>1.4333</v>
      </c>
      <c r="AU27" s="1">
        <v>2.09612</v>
      </c>
      <c r="AY27" s="1" t="s">
        <v>304</v>
      </c>
      <c r="AZ27" s="1">
        <v>4</v>
      </c>
      <c r="BA27" s="1">
        <v>1.0667</v>
      </c>
      <c r="BB27" s="1">
        <v>0.66669999999999996</v>
      </c>
      <c r="BC27" s="1">
        <v>1.70648</v>
      </c>
      <c r="BG27" s="1">
        <v>1</v>
      </c>
      <c r="BH27" s="1">
        <v>0</v>
      </c>
      <c r="BO27" s="1">
        <v>4</v>
      </c>
      <c r="BP27" s="1">
        <v>8</v>
      </c>
      <c r="BQ27" s="1">
        <v>45</v>
      </c>
      <c r="BR27" s="1">
        <v>0</v>
      </c>
      <c r="BS27" s="1">
        <v>5</v>
      </c>
      <c r="BT27" s="1">
        <v>33</v>
      </c>
      <c r="BU27" s="1" t="s">
        <v>364</v>
      </c>
      <c r="BW27" s="1" t="s">
        <v>305</v>
      </c>
    </row>
    <row r="28" spans="1:78" s="9" customFormat="1">
      <c r="B28" s="9">
        <v>1</v>
      </c>
      <c r="C28" s="9">
        <v>1</v>
      </c>
      <c r="D28" s="9">
        <v>27</v>
      </c>
      <c r="E28" s="9" t="s">
        <v>68</v>
      </c>
      <c r="G28" s="9">
        <v>2010</v>
      </c>
      <c r="H28" s="9">
        <v>20124171</v>
      </c>
      <c r="I28" s="9" t="s">
        <v>101</v>
      </c>
      <c r="K28" s="9" t="s">
        <v>223</v>
      </c>
      <c r="L28" s="9" t="s">
        <v>102</v>
      </c>
      <c r="M28" s="9">
        <v>1.7999999999999999E-2</v>
      </c>
      <c r="N28" s="9">
        <v>1</v>
      </c>
      <c r="O28" s="9" t="s">
        <v>141</v>
      </c>
      <c r="T28" s="9">
        <v>0.52800000000000002</v>
      </c>
      <c r="U28" s="9">
        <v>51</v>
      </c>
      <c r="AE28" s="9">
        <v>0</v>
      </c>
      <c r="AF28" s="9">
        <v>7.1</v>
      </c>
      <c r="AG28" s="9" t="s">
        <v>105</v>
      </c>
      <c r="AH28" s="9">
        <v>1</v>
      </c>
      <c r="AK28" s="9" t="s">
        <v>10</v>
      </c>
      <c r="AL28" s="9" t="s">
        <v>69</v>
      </c>
      <c r="AM28" s="9">
        <v>0</v>
      </c>
      <c r="AN28" s="9">
        <v>1</v>
      </c>
      <c r="AO28" s="9" t="s">
        <v>70</v>
      </c>
      <c r="AP28" s="9" t="s">
        <v>129</v>
      </c>
      <c r="AQ28" s="9" t="s">
        <v>296</v>
      </c>
      <c r="AV28" s="9">
        <v>9.52</v>
      </c>
      <c r="AW28" s="9">
        <v>2.79</v>
      </c>
      <c r="AX28" s="9">
        <v>32.450000000000003</v>
      </c>
      <c r="AY28" s="9" t="s">
        <v>296</v>
      </c>
      <c r="BD28" s="9">
        <v>4.4400000000000004</v>
      </c>
      <c r="BE28" s="9">
        <v>1.31</v>
      </c>
      <c r="BF28" s="9">
        <v>15</v>
      </c>
      <c r="BG28" s="9">
        <v>1</v>
      </c>
      <c r="BH28" s="9">
        <v>0</v>
      </c>
      <c r="BO28" s="9">
        <v>18</v>
      </c>
      <c r="BP28" s="9">
        <v>20</v>
      </c>
      <c r="BQ28" s="9">
        <v>3</v>
      </c>
      <c r="BR28" s="9">
        <f>63-18</f>
        <v>45</v>
      </c>
      <c r="BS28" s="9">
        <v>115</v>
      </c>
      <c r="BT28" s="9">
        <v>81</v>
      </c>
      <c r="BU28" s="9" t="s">
        <v>224</v>
      </c>
    </row>
    <row r="29" spans="1:78" s="3" customFormat="1">
      <c r="B29" s="6">
        <v>1</v>
      </c>
      <c r="C29" s="3">
        <v>1</v>
      </c>
      <c r="D29" s="3">
        <v>28</v>
      </c>
      <c r="E29" s="3" t="s">
        <v>59</v>
      </c>
      <c r="G29" s="3">
        <v>2011</v>
      </c>
      <c r="H29" s="3">
        <v>21860550</v>
      </c>
      <c r="I29" s="3" t="s">
        <v>101</v>
      </c>
      <c r="K29" s="3" t="s">
        <v>231</v>
      </c>
      <c r="L29" s="3" t="s">
        <v>104</v>
      </c>
      <c r="M29" s="3">
        <f>11/110</f>
        <v>0.1</v>
      </c>
      <c r="N29" s="3">
        <v>1</v>
      </c>
      <c r="O29" s="3" t="s">
        <v>232</v>
      </c>
      <c r="Q29" s="3">
        <f>(20+58+8)/110</f>
        <v>0.78181818181818186</v>
      </c>
      <c r="S29" s="3">
        <f>4/110</f>
        <v>3.6363636363636362E-2</v>
      </c>
      <c r="U29" s="3">
        <v>43.6</v>
      </c>
      <c r="V29" s="3" t="s">
        <v>351</v>
      </c>
      <c r="AD29" s="3">
        <f>(16+53+5)/110</f>
        <v>0.67272727272727273</v>
      </c>
      <c r="AE29" s="3">
        <v>0</v>
      </c>
      <c r="AF29" s="3">
        <f>74/12</f>
        <v>6.166666666666667</v>
      </c>
      <c r="AG29" s="3" t="s">
        <v>297</v>
      </c>
      <c r="AH29" s="3">
        <v>3</v>
      </c>
      <c r="AK29" s="3" t="s">
        <v>10</v>
      </c>
      <c r="AL29" s="3" t="s">
        <v>60</v>
      </c>
      <c r="AM29" s="3">
        <v>0</v>
      </c>
      <c r="AN29" s="3">
        <v>1</v>
      </c>
      <c r="AO29" s="3" t="s">
        <v>61</v>
      </c>
      <c r="AP29" s="3" t="s">
        <v>129</v>
      </c>
      <c r="AQ29" s="3" t="s">
        <v>233</v>
      </c>
      <c r="AS29" s="3">
        <v>5.59</v>
      </c>
      <c r="AT29" s="3">
        <v>0.93</v>
      </c>
      <c r="AU29" s="3">
        <v>33.5</v>
      </c>
      <c r="AV29" s="3">
        <v>5.24</v>
      </c>
      <c r="AW29" s="3">
        <v>0.7</v>
      </c>
      <c r="AX29" s="3">
        <v>39.130000000000003</v>
      </c>
      <c r="AY29" s="3" t="s">
        <v>263</v>
      </c>
      <c r="BA29" s="3">
        <v>1.06</v>
      </c>
      <c r="BB29" s="3">
        <v>0.21</v>
      </c>
      <c r="BC29" s="3">
        <v>5.25</v>
      </c>
      <c r="BD29" s="3">
        <v>1.32</v>
      </c>
      <c r="BE29" s="3">
        <v>0.25</v>
      </c>
      <c r="BF29" s="3">
        <v>6.88</v>
      </c>
      <c r="BG29" s="3">
        <v>1</v>
      </c>
      <c r="BH29" s="3">
        <v>0</v>
      </c>
      <c r="BO29" s="3">
        <v>3</v>
      </c>
      <c r="BP29" s="3">
        <v>6</v>
      </c>
      <c r="BQ29" s="3">
        <v>2</v>
      </c>
      <c r="BR29" s="3">
        <v>5</v>
      </c>
      <c r="BS29" s="3">
        <v>70</v>
      </c>
      <c r="BT29" s="3">
        <v>24</v>
      </c>
      <c r="BU29" s="3" t="s">
        <v>234</v>
      </c>
    </row>
    <row r="30" spans="1:78" s="1" customFormat="1">
      <c r="B30" s="6">
        <v>1</v>
      </c>
      <c r="C30" s="1">
        <v>1</v>
      </c>
      <c r="D30" s="1">
        <v>29</v>
      </c>
      <c r="E30" s="1" t="s">
        <v>13</v>
      </c>
      <c r="G30" s="1">
        <v>2020</v>
      </c>
      <c r="H30" s="1">
        <v>32589097</v>
      </c>
      <c r="I30" s="1" t="s">
        <v>101</v>
      </c>
      <c r="K30" s="1" t="s">
        <v>235</v>
      </c>
      <c r="N30" s="1">
        <v>1</v>
      </c>
      <c r="P30" s="1">
        <v>0.63400000000000001</v>
      </c>
      <c r="Q30" s="1">
        <v>0.77500000000000002</v>
      </c>
      <c r="T30" s="1">
        <v>0.49299999999999999</v>
      </c>
      <c r="U30" s="1">
        <v>50.7</v>
      </c>
      <c r="Z30" s="1">
        <v>0.183</v>
      </c>
      <c r="AA30" s="1">
        <v>0.60599999999999998</v>
      </c>
      <c r="AB30" s="1">
        <v>0.183</v>
      </c>
      <c r="AC30" s="1">
        <v>2.8000000000000001E-2</v>
      </c>
      <c r="AD30" s="1">
        <v>0.72</v>
      </c>
      <c r="AE30" s="1">
        <v>0</v>
      </c>
      <c r="AF30" s="1" t="s">
        <v>298</v>
      </c>
      <c r="AG30" s="1" t="s">
        <v>175</v>
      </c>
      <c r="AH30" s="1">
        <v>3</v>
      </c>
      <c r="AJ30" s="1" t="s">
        <v>217</v>
      </c>
      <c r="AK30" s="1" t="s">
        <v>10</v>
      </c>
      <c r="AL30" s="1" t="s">
        <v>14</v>
      </c>
      <c r="AM30" s="1">
        <v>1</v>
      </c>
      <c r="AN30" s="1">
        <v>0</v>
      </c>
      <c r="AO30" s="1" t="s">
        <v>15</v>
      </c>
      <c r="AP30" s="1" t="s">
        <v>129</v>
      </c>
      <c r="AQ30" s="1" t="s">
        <v>236</v>
      </c>
      <c r="AS30" s="1">
        <v>1.68</v>
      </c>
      <c r="AT30" s="1">
        <v>0.42</v>
      </c>
      <c r="AU30" s="1">
        <v>6.73</v>
      </c>
      <c r="AV30" s="1">
        <v>1.6</v>
      </c>
      <c r="AW30" s="1">
        <v>0.38</v>
      </c>
      <c r="AX30" s="1">
        <v>6.9</v>
      </c>
      <c r="BG30" s="1">
        <v>1</v>
      </c>
      <c r="BH30" s="1">
        <v>0</v>
      </c>
      <c r="BO30" s="1">
        <v>1</v>
      </c>
      <c r="BP30" s="1">
        <v>2</v>
      </c>
      <c r="BQ30" s="1">
        <v>6</v>
      </c>
      <c r="BR30" s="1">
        <v>1</v>
      </c>
      <c r="BS30" s="1">
        <v>11</v>
      </c>
      <c r="BT30" s="1">
        <v>50</v>
      </c>
      <c r="BU30" s="1" t="s">
        <v>237</v>
      </c>
    </row>
    <row r="31" spans="1:78" s="3" customFormat="1">
      <c r="B31" s="6">
        <v>1</v>
      </c>
      <c r="C31" s="3">
        <v>1</v>
      </c>
      <c r="D31" s="3">
        <v>30</v>
      </c>
      <c r="E31" s="3" t="s">
        <v>48</v>
      </c>
      <c r="G31" s="3">
        <v>2012</v>
      </c>
      <c r="H31" s="3">
        <v>23226070</v>
      </c>
      <c r="I31" s="3" t="s">
        <v>98</v>
      </c>
      <c r="L31" s="3" t="s">
        <v>102</v>
      </c>
      <c r="M31" s="3">
        <v>0</v>
      </c>
      <c r="N31" s="3">
        <v>1</v>
      </c>
      <c r="T31" s="3">
        <v>0.21099999999999999</v>
      </c>
      <c r="U31" s="3">
        <v>46.12</v>
      </c>
      <c r="V31" s="3">
        <v>0.158</v>
      </c>
      <c r="W31" s="3">
        <v>0.47399999999999998</v>
      </c>
      <c r="X31" s="3">
        <v>0.105</v>
      </c>
      <c r="AF31" s="3">
        <f>((31.05*20+96.4*19)/39)/12</f>
        <v>5.2405982905982915</v>
      </c>
      <c r="AG31" s="3" t="s">
        <v>106</v>
      </c>
      <c r="AH31" s="3">
        <v>3</v>
      </c>
      <c r="AI31" s="3" t="s">
        <v>238</v>
      </c>
      <c r="AK31" s="3" t="s">
        <v>10</v>
      </c>
      <c r="AL31" s="3" t="s">
        <v>43</v>
      </c>
      <c r="AM31" s="3">
        <v>0</v>
      </c>
      <c r="AN31" s="3">
        <v>1</v>
      </c>
      <c r="AO31" s="3" t="s">
        <v>239</v>
      </c>
      <c r="AP31" s="3" t="s">
        <v>168</v>
      </c>
      <c r="AQ31" s="3" t="s">
        <v>240</v>
      </c>
      <c r="BG31" s="3">
        <v>1</v>
      </c>
      <c r="BH31" s="3">
        <v>1</v>
      </c>
      <c r="BI31" s="3">
        <v>11</v>
      </c>
      <c r="BJ31" s="3">
        <v>4</v>
      </c>
      <c r="BK31" s="3">
        <v>5</v>
      </c>
      <c r="BL31" s="3">
        <v>8</v>
      </c>
      <c r="BM31" s="3">
        <v>10</v>
      </c>
      <c r="BN31" s="3">
        <v>1</v>
      </c>
      <c r="BU31" s="3" t="s">
        <v>33</v>
      </c>
    </row>
    <row r="32" spans="1:78" s="4" customFormat="1" ht="15" customHeight="1">
      <c r="A32" s="4" t="s">
        <v>368</v>
      </c>
      <c r="B32" s="6">
        <v>1</v>
      </c>
      <c r="C32" s="4">
        <v>1</v>
      </c>
      <c r="D32" s="4">
        <v>31</v>
      </c>
      <c r="E32" s="4" t="s">
        <v>54</v>
      </c>
      <c r="G32" s="4">
        <v>2012</v>
      </c>
      <c r="H32" s="4">
        <v>22183189</v>
      </c>
      <c r="I32" s="4" t="s">
        <v>101</v>
      </c>
      <c r="L32" s="4">
        <f>78/95</f>
        <v>0.82105263157894737</v>
      </c>
      <c r="N32" s="4">
        <v>1</v>
      </c>
      <c r="T32" s="4">
        <f>62/95</f>
        <v>0.65263157894736845</v>
      </c>
      <c r="U32" s="4">
        <v>51</v>
      </c>
      <c r="V32" s="4" t="s">
        <v>352</v>
      </c>
      <c r="Z32" s="4" t="s">
        <v>353</v>
      </c>
      <c r="AE32" s="4">
        <v>0</v>
      </c>
      <c r="AG32" s="4" t="s">
        <v>105</v>
      </c>
      <c r="AH32" s="4">
        <v>1</v>
      </c>
      <c r="AK32" s="4" t="s">
        <v>10</v>
      </c>
      <c r="AL32" s="4" t="s">
        <v>55</v>
      </c>
      <c r="AM32" s="4">
        <v>0</v>
      </c>
      <c r="AN32" s="4">
        <v>1</v>
      </c>
      <c r="AO32" s="4" t="s">
        <v>299</v>
      </c>
      <c r="AP32" s="4" t="s">
        <v>354</v>
      </c>
      <c r="AQ32" s="4" t="s">
        <v>219</v>
      </c>
      <c r="AR32" s="4">
        <v>4</v>
      </c>
      <c r="AS32" s="4">
        <v>4.51</v>
      </c>
      <c r="AT32" s="4">
        <v>1.74</v>
      </c>
      <c r="AU32" s="4">
        <v>11.71</v>
      </c>
      <c r="BG32" s="4">
        <v>0</v>
      </c>
      <c r="BH32" s="4">
        <v>0</v>
      </c>
      <c r="BO32" s="4">
        <v>0</v>
      </c>
      <c r="BP32" s="4">
        <v>12</v>
      </c>
      <c r="BQ32" s="4">
        <v>5</v>
      </c>
      <c r="BR32" s="4">
        <v>0</v>
      </c>
      <c r="BS32" s="4">
        <v>21</v>
      </c>
      <c r="BT32" s="4">
        <v>57</v>
      </c>
      <c r="BU32" s="4" t="s">
        <v>370</v>
      </c>
      <c r="BW32" s="4" t="s">
        <v>373</v>
      </c>
    </row>
    <row r="33" spans="1:77" s="4" customFormat="1" ht="15" customHeight="1">
      <c r="C33" s="4">
        <v>1</v>
      </c>
      <c r="D33" s="4">
        <v>32</v>
      </c>
      <c r="E33" s="4" t="s">
        <v>50</v>
      </c>
      <c r="G33" s="4">
        <v>2012</v>
      </c>
      <c r="H33" s="4">
        <v>22623212</v>
      </c>
      <c r="I33" s="4" t="s">
        <v>101</v>
      </c>
      <c r="K33" s="4" t="s">
        <v>216</v>
      </c>
      <c r="L33" s="4" t="s">
        <v>99</v>
      </c>
      <c r="N33" s="4">
        <v>1</v>
      </c>
      <c r="P33" s="4">
        <f>(15+89)/132</f>
        <v>0.78787878787878785</v>
      </c>
      <c r="Q33" s="4">
        <f>123/132</f>
        <v>0.93181818181818177</v>
      </c>
      <c r="T33" s="4">
        <f>(19+101)/132</f>
        <v>0.90909090909090906</v>
      </c>
      <c r="U33" s="4">
        <f>(51.32*22+50.41*110)/132</f>
        <v>50.56166666666666</v>
      </c>
      <c r="AF33" s="4">
        <f>47/12</f>
        <v>3.9166666666666665</v>
      </c>
      <c r="AG33" s="4" t="s">
        <v>105</v>
      </c>
      <c r="AH33" s="4">
        <v>1</v>
      </c>
      <c r="AJ33" s="4" t="s">
        <v>217</v>
      </c>
      <c r="AK33" s="4" t="s">
        <v>10</v>
      </c>
      <c r="AL33" s="4" t="s">
        <v>51</v>
      </c>
      <c r="AM33" s="4">
        <v>0</v>
      </c>
      <c r="AN33" s="4">
        <v>1</v>
      </c>
      <c r="AO33" s="4" t="s">
        <v>52</v>
      </c>
      <c r="AP33" s="4" t="s">
        <v>129</v>
      </c>
      <c r="AQ33" s="4" t="s">
        <v>300</v>
      </c>
      <c r="AR33" s="4">
        <v>2</v>
      </c>
      <c r="AS33" s="4">
        <v>7.15</v>
      </c>
      <c r="AT33" s="4">
        <v>1.77</v>
      </c>
      <c r="AU33" s="4">
        <v>28.89</v>
      </c>
      <c r="AZ33" s="4">
        <v>0</v>
      </c>
      <c r="BG33" s="4">
        <v>0</v>
      </c>
      <c r="BH33" s="4">
        <v>0</v>
      </c>
      <c r="BU33" s="4" t="s">
        <v>218</v>
      </c>
    </row>
    <row r="34" spans="1:77" s="12" customFormat="1">
      <c r="A34" s="12">
        <v>1</v>
      </c>
      <c r="B34" s="12">
        <v>1</v>
      </c>
      <c r="C34" s="12">
        <v>1</v>
      </c>
      <c r="D34" s="12">
        <v>33</v>
      </c>
      <c r="E34" s="12" t="s">
        <v>22</v>
      </c>
      <c r="G34" s="12">
        <v>2018</v>
      </c>
      <c r="H34" s="12">
        <v>29396856</v>
      </c>
      <c r="I34" s="12" t="s">
        <v>101</v>
      </c>
      <c r="K34" s="12" t="s">
        <v>225</v>
      </c>
      <c r="L34" s="12" t="s">
        <v>102</v>
      </c>
      <c r="M34" s="12">
        <f>(12+15+11)/(101+153+71)</f>
        <v>0.11692307692307692</v>
      </c>
      <c r="N34" s="12">
        <v>1</v>
      </c>
      <c r="O34" s="12">
        <v>5</v>
      </c>
      <c r="P34" s="12">
        <f>(57+96+44)/(101+153+71)</f>
        <v>0.60615384615384615</v>
      </c>
      <c r="Q34" s="12">
        <f>(87+153+66)/(101+153+71)</f>
        <v>0.94153846153846155</v>
      </c>
      <c r="V34" s="12">
        <f>(6+9+4)/(101+153+71)</f>
        <v>5.8461538461538461E-2</v>
      </c>
      <c r="W34" s="12">
        <f>(51+77+36)/(101+153+71)</f>
        <v>0.50461538461538458</v>
      </c>
      <c r="X34" s="12">
        <f>(15+29+15)/(101+153+71)</f>
        <v>0.18153846153846154</v>
      </c>
      <c r="Z34" s="12">
        <f>24/(101+153+71)</f>
        <v>7.3846153846153853E-2</v>
      </c>
      <c r="AA34" s="12">
        <f>(50+66+28)/(101+153+71)</f>
        <v>0.44307692307692309</v>
      </c>
      <c r="AB34" s="12">
        <f>(17+33+14)/(101+153+71)</f>
        <v>0.19692307692307692</v>
      </c>
      <c r="AE34" s="12">
        <v>0</v>
      </c>
      <c r="AF34" s="12">
        <f>75.6/12</f>
        <v>6.3</v>
      </c>
      <c r="AG34" s="12" t="s">
        <v>175</v>
      </c>
      <c r="AH34" s="12">
        <v>3</v>
      </c>
      <c r="AK34" s="12" t="s">
        <v>10</v>
      </c>
      <c r="AL34" s="12" t="s">
        <v>23</v>
      </c>
      <c r="AM34" s="12">
        <v>0</v>
      </c>
      <c r="AN34" s="12">
        <v>1</v>
      </c>
      <c r="AO34" s="12" t="s">
        <v>24</v>
      </c>
      <c r="AP34" s="12" t="s">
        <v>354</v>
      </c>
      <c r="AQ34" s="12" t="s">
        <v>356</v>
      </c>
      <c r="AR34" s="12">
        <v>4</v>
      </c>
      <c r="AZ34" s="12">
        <v>0</v>
      </c>
      <c r="BG34" s="12">
        <v>1</v>
      </c>
      <c r="BH34" s="12">
        <v>0</v>
      </c>
      <c r="BO34" s="12">
        <f>ROUND(0.549*71,1)</f>
        <v>39</v>
      </c>
      <c r="BP34" s="12">
        <f>ROUND(0.706*153,0)</f>
        <v>108</v>
      </c>
      <c r="BQ34" s="12">
        <f>ROUND(0.713*101,0)</f>
        <v>72</v>
      </c>
      <c r="BR34" s="12">
        <f>71-BO34</f>
        <v>32</v>
      </c>
      <c r="BS34" s="12">
        <f>153-BP34</f>
        <v>45</v>
      </c>
      <c r="BT34" s="12">
        <f>101-BQ34</f>
        <v>29</v>
      </c>
      <c r="BU34" s="12" t="s">
        <v>33</v>
      </c>
      <c r="BW34" s="12" t="s">
        <v>355</v>
      </c>
    </row>
    <row r="35" spans="1:77" s="6" customFormat="1">
      <c r="C35" s="6">
        <v>1</v>
      </c>
      <c r="D35" s="6">
        <v>34</v>
      </c>
      <c r="E35" s="6" t="s">
        <v>32</v>
      </c>
      <c r="G35" s="6">
        <v>2016</v>
      </c>
      <c r="H35" s="6">
        <v>27648149</v>
      </c>
      <c r="I35" s="6" t="s">
        <v>101</v>
      </c>
      <c r="K35" s="6" t="s">
        <v>226</v>
      </c>
      <c r="L35" s="6" t="s">
        <v>102</v>
      </c>
      <c r="M35" s="6">
        <f>24/72</f>
        <v>0.33333333333333331</v>
      </c>
      <c r="N35" s="6">
        <v>1</v>
      </c>
      <c r="T35" s="6">
        <f>7/72</f>
        <v>9.7222222222222224E-2</v>
      </c>
      <c r="U35" s="6">
        <f>(42.11*18+43.96*23+31*45.68)/72</f>
        <v>44.238055555555555</v>
      </c>
      <c r="V35" s="6">
        <f>(24+17)/72</f>
        <v>0.56944444444444442</v>
      </c>
      <c r="W35" s="6">
        <f>17/72</f>
        <v>0.2361111111111111</v>
      </c>
      <c r="X35" s="6">
        <f>14/72</f>
        <v>0.19444444444444445</v>
      </c>
      <c r="Y35" s="6">
        <v>0</v>
      </c>
      <c r="Z35" s="6">
        <f>18/72</f>
        <v>0.25</v>
      </c>
      <c r="AA35" s="6">
        <f>34/72</f>
        <v>0.47222222222222221</v>
      </c>
      <c r="AB35" s="6">
        <f>20/72</f>
        <v>0.27777777777777779</v>
      </c>
      <c r="AE35" s="6">
        <v>1</v>
      </c>
      <c r="AF35" s="6">
        <f>85/12</f>
        <v>7.083333333333333</v>
      </c>
      <c r="AG35" s="6" t="s">
        <v>105</v>
      </c>
      <c r="AH35" s="6">
        <v>1</v>
      </c>
      <c r="AK35" s="6" t="s">
        <v>10</v>
      </c>
      <c r="AL35" s="6" t="s">
        <v>23</v>
      </c>
      <c r="AM35" s="6">
        <v>0</v>
      </c>
      <c r="AN35" s="6">
        <v>1</v>
      </c>
      <c r="AO35" s="6" t="s">
        <v>33</v>
      </c>
      <c r="AP35" s="6" t="s">
        <v>129</v>
      </c>
      <c r="AQ35" s="6" t="s">
        <v>227</v>
      </c>
      <c r="AR35" s="6">
        <v>4</v>
      </c>
      <c r="AV35" s="6">
        <f>EXP(2*0.333)</f>
        <v>1.9464359844275914</v>
      </c>
      <c r="AW35" s="6">
        <f>EXP(2*LN(0.632))</f>
        <v>0.399424</v>
      </c>
      <c r="AX35" s="6">
        <f>EXP(2*LN(3.081))</f>
        <v>9.4925609999999985</v>
      </c>
      <c r="AZ35" s="6">
        <v>0</v>
      </c>
      <c r="BG35" s="6">
        <v>0</v>
      </c>
      <c r="BH35" s="6">
        <v>0</v>
      </c>
      <c r="BV35" s="6" t="s">
        <v>358</v>
      </c>
      <c r="BW35" s="6" t="s">
        <v>228</v>
      </c>
      <c r="BY35" s="6" t="s">
        <v>357</v>
      </c>
    </row>
    <row r="36" spans="1:77" s="5" customFormat="1">
      <c r="D36" s="5">
        <v>35</v>
      </c>
      <c r="E36" s="5" t="s">
        <v>71</v>
      </c>
      <c r="F36" t="s">
        <v>341</v>
      </c>
      <c r="G36" s="5">
        <v>2009</v>
      </c>
      <c r="H36" s="5">
        <v>19156902</v>
      </c>
      <c r="I36" s="5" t="s">
        <v>101</v>
      </c>
      <c r="K36" s="5" t="s">
        <v>229</v>
      </c>
      <c r="L36" s="5" t="s">
        <v>102</v>
      </c>
      <c r="M36" s="5">
        <f>13/173</f>
        <v>7.5144508670520235E-2</v>
      </c>
      <c r="N36" s="5">
        <v>1</v>
      </c>
      <c r="O36" s="5">
        <f>52/12</f>
        <v>4.333333333333333</v>
      </c>
      <c r="T36" s="5">
        <f>38/173</f>
        <v>0.21965317919075145</v>
      </c>
      <c r="U36" s="5">
        <v>47</v>
      </c>
      <c r="AF36" s="5">
        <f>56/12</f>
        <v>4.666666666666667</v>
      </c>
      <c r="AG36" s="5" t="s">
        <v>105</v>
      </c>
      <c r="AH36" s="5">
        <v>1</v>
      </c>
      <c r="AK36" s="5" t="s">
        <v>10</v>
      </c>
      <c r="AL36" s="5" t="s">
        <v>69</v>
      </c>
      <c r="AM36" s="5">
        <v>0</v>
      </c>
      <c r="AN36" s="5">
        <v>1</v>
      </c>
      <c r="AO36" s="5" t="s">
        <v>33</v>
      </c>
      <c r="AP36" s="5" t="s">
        <v>129</v>
      </c>
      <c r="AQ36" s="5" t="s">
        <v>230</v>
      </c>
      <c r="AR36" s="5">
        <v>5</v>
      </c>
      <c r="AS36" s="5">
        <v>0.94</v>
      </c>
      <c r="AT36" s="5">
        <v>0.34</v>
      </c>
      <c r="AU36" s="5">
        <v>2.6</v>
      </c>
      <c r="AV36" s="5">
        <v>0.6</v>
      </c>
      <c r="AW36" s="5">
        <v>0.18</v>
      </c>
      <c r="AX36" s="5">
        <v>1.98</v>
      </c>
      <c r="AZ36" s="5">
        <v>0</v>
      </c>
      <c r="BG36" s="5">
        <v>0</v>
      </c>
      <c r="BH36" s="5">
        <v>0</v>
      </c>
    </row>
    <row r="37" spans="1:77" s="4" customFormat="1">
      <c r="C37" s="4">
        <v>1</v>
      </c>
      <c r="D37" s="4">
        <v>36</v>
      </c>
      <c r="E37" s="4" t="s">
        <v>53</v>
      </c>
      <c r="G37" s="4">
        <v>2012</v>
      </c>
      <c r="H37" s="4">
        <v>23167378</v>
      </c>
      <c r="I37" s="4" t="s">
        <v>101</v>
      </c>
      <c r="K37" s="4" t="s">
        <v>212</v>
      </c>
      <c r="L37" s="4" t="s">
        <v>102</v>
      </c>
      <c r="M37" s="4">
        <f>1/48</f>
        <v>2.0833333333333332E-2</v>
      </c>
      <c r="N37" s="4">
        <v>1</v>
      </c>
      <c r="P37" s="4">
        <f>19/48</f>
        <v>0.39583333333333331</v>
      </c>
      <c r="Q37" s="4">
        <f>45/48</f>
        <v>0.9375</v>
      </c>
      <c r="T37" s="4">
        <f>18/48</f>
        <v>0.375</v>
      </c>
      <c r="U37" s="4">
        <f>(51*34+47*14)/48</f>
        <v>49.833333333333336</v>
      </c>
      <c r="V37" s="4">
        <f>4/48</f>
        <v>8.3333333333333329E-2</v>
      </c>
      <c r="W37" s="4">
        <f>21/48</f>
        <v>0.4375</v>
      </c>
      <c r="X37" s="4">
        <f>9/48</f>
        <v>0.1875</v>
      </c>
      <c r="AE37" s="4">
        <v>0</v>
      </c>
      <c r="AF37" s="4">
        <v>5.6</v>
      </c>
      <c r="AG37" s="4" t="s">
        <v>175</v>
      </c>
      <c r="AH37" s="4">
        <v>3</v>
      </c>
      <c r="AK37" s="4" t="s">
        <v>10</v>
      </c>
      <c r="AL37" s="4" t="s">
        <v>43</v>
      </c>
      <c r="AM37" s="4">
        <v>0</v>
      </c>
      <c r="AN37" s="4">
        <v>1</v>
      </c>
      <c r="AO37" s="4" t="s">
        <v>18</v>
      </c>
      <c r="AP37" s="4" t="s">
        <v>129</v>
      </c>
      <c r="AQ37" s="4" t="s">
        <v>263</v>
      </c>
      <c r="AR37" s="4">
        <v>4</v>
      </c>
      <c r="AV37" s="4">
        <v>6.85</v>
      </c>
      <c r="AW37" s="4">
        <v>1.48</v>
      </c>
      <c r="AX37" s="4">
        <v>31.69</v>
      </c>
      <c r="AZ37" s="4">
        <v>0</v>
      </c>
      <c r="BG37" s="4">
        <v>0</v>
      </c>
      <c r="BH37" s="4">
        <v>0</v>
      </c>
    </row>
    <row r="38" spans="1:77" s="13" customFormat="1">
      <c r="D38" s="13">
        <v>37</v>
      </c>
      <c r="E38" s="13" t="s">
        <v>73</v>
      </c>
      <c r="F38" s="13" t="s">
        <v>341</v>
      </c>
      <c r="G38" s="13">
        <v>2008</v>
      </c>
      <c r="H38" s="13">
        <v>18407954</v>
      </c>
      <c r="I38" s="13" t="s">
        <v>101</v>
      </c>
      <c r="K38" s="13" t="s">
        <v>241</v>
      </c>
      <c r="L38" s="13" t="s">
        <v>156</v>
      </c>
      <c r="N38" s="13">
        <v>1</v>
      </c>
      <c r="O38" s="13">
        <v>5</v>
      </c>
      <c r="P38" s="13">
        <f>16/152</f>
        <v>0.10526315789473684</v>
      </c>
      <c r="Q38" s="13">
        <v>0</v>
      </c>
      <c r="AD38" s="13">
        <f>136/152</f>
        <v>0.89473684210526316</v>
      </c>
      <c r="AE38" s="13">
        <v>1</v>
      </c>
      <c r="AF38" s="13">
        <f>63/12</f>
        <v>5.25</v>
      </c>
      <c r="AG38" s="13" t="s">
        <v>175</v>
      </c>
      <c r="AH38" s="13">
        <v>3</v>
      </c>
      <c r="AK38" s="13" t="s">
        <v>10</v>
      </c>
      <c r="AL38" s="13" t="s">
        <v>23</v>
      </c>
      <c r="AM38" s="13">
        <v>0</v>
      </c>
      <c r="AN38" s="13">
        <v>1</v>
      </c>
      <c r="AO38" s="13" t="s">
        <v>33</v>
      </c>
      <c r="AP38" s="13" t="s">
        <v>129</v>
      </c>
      <c r="AQ38" s="13" t="s">
        <v>242</v>
      </c>
      <c r="AR38" s="13">
        <v>5</v>
      </c>
      <c r="AV38" s="13">
        <v>4.7</v>
      </c>
      <c r="AW38" s="13">
        <v>1.1000000000000001</v>
      </c>
      <c r="AX38" s="13">
        <v>20</v>
      </c>
      <c r="AZ38" s="13">
        <v>0</v>
      </c>
      <c r="BG38" s="13">
        <v>0</v>
      </c>
      <c r="BH38" s="13">
        <v>0</v>
      </c>
      <c r="BY38" s="13" t="s">
        <v>376</v>
      </c>
    </row>
    <row r="39" spans="1:77" s="4" customFormat="1" ht="15" customHeight="1">
      <c r="D39" s="4">
        <v>38</v>
      </c>
      <c r="E39" s="4" t="s">
        <v>36</v>
      </c>
      <c r="G39" s="4">
        <v>2015</v>
      </c>
      <c r="H39" s="4">
        <v>25701109</v>
      </c>
      <c r="I39" s="4" t="s">
        <v>101</v>
      </c>
      <c r="K39" s="4" t="s">
        <v>243</v>
      </c>
      <c r="L39" s="4" t="s">
        <v>102</v>
      </c>
      <c r="M39" s="4">
        <f>118/296</f>
        <v>0.39864864864864863</v>
      </c>
      <c r="N39" s="4">
        <v>1</v>
      </c>
      <c r="O39" s="4">
        <v>3.64</v>
      </c>
      <c r="T39" s="4">
        <f>122/296</f>
        <v>0.41216216216216217</v>
      </c>
      <c r="U39" s="4">
        <v>50</v>
      </c>
      <c r="V39" s="4">
        <f>55/296</f>
        <v>0.1858108108108108</v>
      </c>
      <c r="W39" s="4">
        <f>183/296</f>
        <v>0.6182432432432432</v>
      </c>
      <c r="X39" s="4">
        <f>38/296</f>
        <v>0.12837837837837837</v>
      </c>
      <c r="AE39" s="4">
        <v>0</v>
      </c>
      <c r="AF39" s="4">
        <f>83/12</f>
        <v>6.916666666666667</v>
      </c>
      <c r="AG39" s="4" t="s">
        <v>244</v>
      </c>
      <c r="AH39" s="4">
        <v>2</v>
      </c>
      <c r="AK39" s="4" t="s">
        <v>6</v>
      </c>
      <c r="AL39" s="4" t="s">
        <v>23</v>
      </c>
      <c r="AM39" s="4">
        <v>0</v>
      </c>
      <c r="AN39" s="4">
        <v>1</v>
      </c>
      <c r="AO39" s="4" t="s">
        <v>33</v>
      </c>
      <c r="AP39" s="4" t="s">
        <v>129</v>
      </c>
      <c r="AQ39" s="4" t="s">
        <v>245</v>
      </c>
      <c r="AR39" s="4">
        <v>4</v>
      </c>
      <c r="AV39" s="4">
        <f>1/0.52</f>
        <v>1.9230769230769229</v>
      </c>
      <c r="AW39" s="4">
        <f>1/1.139</f>
        <v>0.87796312554872691</v>
      </c>
      <c r="AX39" s="4">
        <f>1/0.237</f>
        <v>4.2194092827004219</v>
      </c>
      <c r="AZ39" s="4">
        <v>0</v>
      </c>
      <c r="BG39" s="4">
        <v>0</v>
      </c>
      <c r="BH39" s="4">
        <v>0</v>
      </c>
    </row>
    <row r="40" spans="1:77">
      <c r="D40" s="5">
        <v>39</v>
      </c>
      <c r="E40" s="5" t="s">
        <v>359</v>
      </c>
      <c r="G40" s="5">
        <v>2018</v>
      </c>
      <c r="H40" s="5">
        <v>30022682</v>
      </c>
      <c r="K40" s="5" t="s">
        <v>360</v>
      </c>
      <c r="N40" s="5">
        <v>1</v>
      </c>
      <c r="O40">
        <v>5</v>
      </c>
      <c r="Q40">
        <f>57/306</f>
        <v>0.18627450980392157</v>
      </c>
      <c r="T40">
        <f>235/306</f>
        <v>0.76797385620915037</v>
      </c>
      <c r="U40">
        <v>59.5</v>
      </c>
      <c r="V40">
        <f>78/306</f>
        <v>0.25490196078431371</v>
      </c>
      <c r="W40">
        <f>145/306</f>
        <v>0.47385620915032678</v>
      </c>
      <c r="X40">
        <f>51/306</f>
        <v>0.16666666666666666</v>
      </c>
      <c r="AE40" s="5">
        <v>0</v>
      </c>
      <c r="AF40">
        <v>11.6</v>
      </c>
      <c r="AG40" s="5" t="s">
        <v>362</v>
      </c>
      <c r="AH40" s="5">
        <v>3</v>
      </c>
      <c r="AK40" s="5" t="s">
        <v>10</v>
      </c>
      <c r="AL40" s="5" t="s">
        <v>11</v>
      </c>
      <c r="AM40" s="5">
        <v>1</v>
      </c>
      <c r="AN40" s="5">
        <v>0</v>
      </c>
      <c r="AO40" s="5" t="s">
        <v>361</v>
      </c>
      <c r="AP40" s="5" t="s">
        <v>129</v>
      </c>
      <c r="AQ40" s="5" t="s">
        <v>363</v>
      </c>
    </row>
    <row r="41" spans="1:77">
      <c r="U41">
        <f>(54+45)/2</f>
        <v>49.5</v>
      </c>
    </row>
    <row r="42" spans="1:77">
      <c r="U42">
        <f>(55+69)/2</f>
        <v>62</v>
      </c>
    </row>
    <row r="43" spans="1:77">
      <c r="U43">
        <f>(70+79)/2</f>
        <v>74.5</v>
      </c>
    </row>
  </sheetData>
  <sortState xmlns:xlrd2="http://schemas.microsoft.com/office/spreadsheetml/2017/richdata2" ref="E25:CA39">
    <sortCondition descending="1" ref="AM25:AM39"/>
    <sortCondition descending="1" ref="BG25:BG39"/>
    <sortCondition ref="E25:E39"/>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6F38-696C-9141-B0A9-977F7E251686}">
  <sheetPr codeName="Sheet2"/>
  <dimension ref="A1"/>
  <sheetViews>
    <sheetView workbookViewId="0"/>
  </sheetViews>
  <sheetFormatPr baseColWidth="10" defaultColWidth="11"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meta_update-20220928</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Collin</dc:creator>
  <cp:lastModifiedBy>Richard F Maclehose</cp:lastModifiedBy>
  <dcterms:created xsi:type="dcterms:W3CDTF">2022-09-28T19:20:17Z</dcterms:created>
  <dcterms:modified xsi:type="dcterms:W3CDTF">2024-11-06T21:54:26Z</dcterms:modified>
</cp:coreProperties>
</file>