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E:\生产经营报告\2016\"/>
    </mc:Choice>
  </mc:AlternateContent>
  <bookViews>
    <workbookView xWindow="0" yWindow="0" windowWidth="20910" windowHeight="9405" tabRatio="617" activeTab="1"/>
  </bookViews>
  <sheets>
    <sheet name="表1-生产经营预算表" sheetId="1" r:id="rId1"/>
    <sheet name="表2-财务收支表" sheetId="2" r:id="rId2"/>
    <sheet name="表3-利润预算表" sheetId="3" r:id="rId3"/>
    <sheet name="表4-运力计划" sheetId="4" state="hidden" r:id="rId4"/>
    <sheet name="表12-投资收益明细表及公允价值变动明细表" sheetId="5" state="hidden" r:id="rId5"/>
    <sheet name="表14-分航线损益预算" sheetId="6" state="hidden" r:id="rId6"/>
    <sheet name="大项成本月分解" sheetId="7" r:id="rId7"/>
    <sheet name="十二大成本" sheetId="8" r:id="rId8"/>
  </sheets>
  <externalReferences>
    <externalReference r:id="rId9"/>
    <externalReference r:id="rId10"/>
  </externalReferences>
  <definedNames>
    <definedName name="_xlnm._FilterDatabase" localSheetId="5" hidden="1">'表14-分航线损益预算'!$B$2:$Q$2</definedName>
    <definedName name="_xlnm._FilterDatabase" localSheetId="0" hidden="1">'表1-生产经营预算表'!#REF!</definedName>
  </definedNames>
  <calcPr calcId="152511"/>
</workbook>
</file>

<file path=xl/calcChain.xml><?xml version="1.0" encoding="utf-8"?>
<calcChain xmlns="http://schemas.openxmlformats.org/spreadsheetml/2006/main">
  <c r="C44" i="2" l="1"/>
  <c r="C45" i="2"/>
  <c r="I9" i="1"/>
  <c r="H9" i="1"/>
  <c r="H44" i="2"/>
  <c r="H45" i="2" s="1"/>
  <c r="I44" i="2"/>
  <c r="I45" i="2" s="1"/>
  <c r="J44" i="2"/>
  <c r="K44" i="2"/>
  <c r="K45" i="2" s="1"/>
  <c r="L44" i="2"/>
  <c r="L45" i="2" s="1"/>
  <c r="M44" i="2"/>
  <c r="M45" i="2" s="1"/>
  <c r="N44" i="2"/>
  <c r="D44" i="2"/>
  <c r="D45" i="2" s="1"/>
  <c r="E44" i="2"/>
  <c r="F44" i="2"/>
  <c r="F45" i="2" s="1"/>
  <c r="G44" i="2"/>
  <c r="G45" i="2" s="1"/>
  <c r="E45" i="2"/>
  <c r="J45" i="2"/>
  <c r="N45" i="2"/>
  <c r="I226" i="1"/>
  <c r="J226" i="1"/>
  <c r="K226" i="1"/>
  <c r="L226" i="1"/>
  <c r="M226" i="1"/>
  <c r="N226" i="1"/>
  <c r="O226" i="1"/>
  <c r="P226" i="1"/>
  <c r="Q226" i="1"/>
  <c r="E226" i="1"/>
  <c r="F226" i="1"/>
  <c r="G226" i="1"/>
  <c r="H226" i="1"/>
  <c r="D226" i="1"/>
  <c r="T4" i="1" l="1"/>
  <c r="T3" i="1"/>
  <c r="T211" i="1"/>
  <c r="T210" i="1"/>
  <c r="T14" i="1"/>
  <c r="T13" i="1"/>
  <c r="Q4" i="3"/>
  <c r="T12" i="1"/>
  <c r="T11" i="1"/>
  <c r="T10" i="1"/>
  <c r="T9" i="1"/>
  <c r="T8" i="1"/>
  <c r="T215" i="1" l="1"/>
  <c r="T216" i="1"/>
  <c r="T217" i="1"/>
  <c r="T218" i="1"/>
  <c r="T219" i="1"/>
  <c r="T212" i="1"/>
  <c r="T213" i="1"/>
  <c r="T214" i="1"/>
  <c r="T189" i="1"/>
  <c r="T190" i="1"/>
  <c r="T191" i="1"/>
  <c r="T192" i="1"/>
  <c r="T188" i="1"/>
  <c r="T183" i="1"/>
  <c r="T148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33" i="1"/>
  <c r="T125" i="1"/>
  <c r="T126" i="1"/>
  <c r="T127" i="1"/>
  <c r="T119" i="1"/>
  <c r="T120" i="1"/>
  <c r="T121" i="1"/>
  <c r="T122" i="1"/>
  <c r="T123" i="1"/>
  <c r="T124" i="1"/>
  <c r="T11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88" i="1"/>
  <c r="T84" i="1"/>
  <c r="T85" i="1"/>
  <c r="T86" i="1"/>
  <c r="T87" i="1"/>
  <c r="T83" i="1"/>
  <c r="T58" i="1"/>
  <c r="T54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17" i="1"/>
  <c r="T18" i="1"/>
  <c r="T19" i="1"/>
  <c r="T20" i="1"/>
  <c r="T21" i="1"/>
  <c r="T22" i="1"/>
  <c r="T23" i="1"/>
  <c r="T24" i="1"/>
  <c r="T25" i="1"/>
  <c r="T26" i="1"/>
  <c r="T16" i="1"/>
  <c r="T15" i="1"/>
  <c r="T2" i="1"/>
  <c r="T5" i="1"/>
  <c r="T6" i="1"/>
  <c r="T7" i="1"/>
  <c r="Q9" i="2"/>
  <c r="H6" i="2"/>
  <c r="T53" i="1"/>
  <c r="U210" i="1"/>
  <c r="U211" i="1"/>
  <c r="H5" i="2"/>
  <c r="H4" i="2"/>
  <c r="H13" i="2"/>
  <c r="Q13" i="2"/>
  <c r="H4" i="3"/>
  <c r="H6" i="3"/>
  <c r="H10" i="7"/>
  <c r="H7" i="7"/>
  <c r="H26" i="2"/>
  <c r="H7" i="3"/>
  <c r="H27" i="2"/>
  <c r="H8" i="3"/>
  <c r="H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5" i="2"/>
  <c r="Q6" i="2"/>
  <c r="Q7" i="2"/>
  <c r="Q8" i="2"/>
  <c r="Q10" i="2"/>
  <c r="Q11" i="2"/>
  <c r="Q12" i="2"/>
  <c r="H30" i="2"/>
  <c r="Q17" i="2"/>
  <c r="Q18" i="2"/>
  <c r="Q19" i="2"/>
  <c r="Q20" i="2"/>
  <c r="Q21" i="2"/>
  <c r="Q22" i="2"/>
  <c r="Q23" i="2"/>
  <c r="Q24" i="2"/>
  <c r="Q26" i="2"/>
  <c r="Q27" i="2"/>
  <c r="Q28" i="2"/>
  <c r="Q29" i="2"/>
  <c r="Q30" i="2"/>
  <c r="Q31" i="2"/>
  <c r="Q32" i="2"/>
  <c r="Q33" i="2"/>
  <c r="Q34" i="2"/>
  <c r="Q35" i="2"/>
  <c r="H36" i="2"/>
  <c r="Q36" i="2"/>
  <c r="H37" i="2"/>
  <c r="Q37" i="2"/>
  <c r="Q4" i="2"/>
  <c r="I8" i="1"/>
  <c r="H12" i="1"/>
  <c r="I34" i="1"/>
  <c r="I119" i="1"/>
  <c r="I35" i="1"/>
  <c r="I140" i="1"/>
  <c r="I37" i="1"/>
  <c r="I39" i="1"/>
  <c r="I24" i="1"/>
  <c r="I40" i="1"/>
  <c r="I25" i="1"/>
  <c r="I42" i="1"/>
  <c r="I27" i="1"/>
  <c r="I139" i="1"/>
  <c r="I142" i="1"/>
  <c r="E13" i="8"/>
  <c r="N8" i="8"/>
  <c r="O13" i="8"/>
  <c r="B14" i="8"/>
  <c r="D64" i="1"/>
  <c r="F37" i="1"/>
  <c r="G37" i="1"/>
  <c r="E37" i="1"/>
  <c r="E42" i="1"/>
  <c r="E142" i="1"/>
  <c r="E137" i="1"/>
  <c r="F137" i="1"/>
  <c r="E147" i="1"/>
  <c r="G8" i="1"/>
  <c r="E8" i="1"/>
  <c r="F8" i="1"/>
  <c r="G42" i="1"/>
  <c r="E214" i="1"/>
  <c r="F214" i="1"/>
  <c r="E192" i="1"/>
  <c r="F192" i="1"/>
  <c r="E22" i="1"/>
  <c r="G192" i="1"/>
  <c r="I192" i="1"/>
  <c r="I134" i="1"/>
  <c r="I184" i="1"/>
  <c r="Q114" i="1"/>
  <c r="T114" i="1"/>
  <c r="T117" i="1"/>
  <c r="T116" i="1"/>
  <c r="T115" i="1"/>
  <c r="E107" i="1"/>
  <c r="G214" i="1"/>
  <c r="I214" i="1"/>
  <c r="E32" i="1"/>
  <c r="F32" i="1"/>
  <c r="E17" i="1"/>
  <c r="F17" i="1"/>
  <c r="G32" i="1"/>
  <c r="I32" i="1"/>
  <c r="G27" i="1"/>
  <c r="G22" i="1"/>
  <c r="I22" i="1"/>
  <c r="G17" i="1"/>
  <c r="I17" i="1"/>
  <c r="F3" i="1"/>
  <c r="C15" i="3"/>
  <c r="C21" i="3"/>
  <c r="D19" i="3"/>
  <c r="G142" i="1"/>
  <c r="H19" i="3"/>
  <c r="D15" i="3"/>
  <c r="D21" i="3"/>
  <c r="B21" i="7"/>
  <c r="B2" i="7"/>
  <c r="B6" i="7"/>
  <c r="B22" i="7"/>
  <c r="B7" i="7"/>
  <c r="B10" i="7"/>
  <c r="B11" i="7"/>
  <c r="B12" i="7"/>
  <c r="F12" i="7"/>
  <c r="C12" i="7"/>
  <c r="C11" i="7"/>
  <c r="C29" i="2"/>
  <c r="D12" i="7"/>
  <c r="D29" i="2"/>
  <c r="E12" i="7"/>
  <c r="E29" i="2"/>
  <c r="E8" i="8"/>
  <c r="E15" i="3"/>
  <c r="E19" i="3"/>
  <c r="F29" i="2"/>
  <c r="F8" i="8"/>
  <c r="G29" i="2"/>
  <c r="G8" i="8"/>
  <c r="H12" i="7"/>
  <c r="H29" i="2"/>
  <c r="H8" i="8"/>
  <c r="I12" i="7"/>
  <c r="I29" i="2"/>
  <c r="I8" i="8"/>
  <c r="I15" i="3"/>
  <c r="I19" i="3"/>
  <c r="J12" i="7"/>
  <c r="J11" i="7"/>
  <c r="J28" i="2"/>
  <c r="J29" i="2"/>
  <c r="J8" i="8"/>
  <c r="J15" i="3"/>
  <c r="J19" i="3"/>
  <c r="K12" i="7"/>
  <c r="K11" i="7"/>
  <c r="K28" i="2"/>
  <c r="K11" i="8"/>
  <c r="K29" i="2"/>
  <c r="K8" i="8"/>
  <c r="K15" i="3"/>
  <c r="K19" i="3"/>
  <c r="L12" i="7"/>
  <c r="L29" i="2"/>
  <c r="L8" i="8"/>
  <c r="M12" i="7"/>
  <c r="M29" i="2"/>
  <c r="M8" i="8"/>
  <c r="N12" i="7"/>
  <c r="N29" i="2"/>
  <c r="D67" i="1"/>
  <c r="D65" i="1"/>
  <c r="D66" i="1"/>
  <c r="D68" i="1"/>
  <c r="D69" i="1"/>
  <c r="D70" i="1"/>
  <c r="D71" i="1"/>
  <c r="D72" i="1"/>
  <c r="D73" i="1"/>
  <c r="D74" i="1"/>
  <c r="D75" i="1"/>
  <c r="D76" i="1"/>
  <c r="D77" i="1"/>
  <c r="D209" i="1"/>
  <c r="D208" i="1"/>
  <c r="F79" i="1"/>
  <c r="G79" i="1"/>
  <c r="H79" i="1"/>
  <c r="I79" i="1"/>
  <c r="J79" i="1"/>
  <c r="K79" i="1"/>
  <c r="L79" i="1"/>
  <c r="M79" i="1"/>
  <c r="N79" i="1"/>
  <c r="O79" i="1"/>
  <c r="P79" i="1"/>
  <c r="F80" i="1"/>
  <c r="G80" i="1"/>
  <c r="H80" i="1"/>
  <c r="I80" i="1"/>
  <c r="J80" i="1"/>
  <c r="K80" i="1"/>
  <c r="L80" i="1"/>
  <c r="M80" i="1"/>
  <c r="N80" i="1"/>
  <c r="O80" i="1"/>
  <c r="P80" i="1"/>
  <c r="F81" i="1"/>
  <c r="G81" i="1"/>
  <c r="H81" i="1"/>
  <c r="I81" i="1"/>
  <c r="J81" i="1"/>
  <c r="K81" i="1"/>
  <c r="L81" i="1"/>
  <c r="M81" i="1"/>
  <c r="N81" i="1"/>
  <c r="O81" i="1"/>
  <c r="P81" i="1"/>
  <c r="F82" i="1"/>
  <c r="F127" i="1"/>
  <c r="G82" i="1"/>
  <c r="H82" i="1"/>
  <c r="I82" i="1"/>
  <c r="J82" i="1"/>
  <c r="K82" i="1"/>
  <c r="L82" i="1"/>
  <c r="M82" i="1"/>
  <c r="N82" i="1"/>
  <c r="O82" i="1"/>
  <c r="P82" i="1"/>
  <c r="E80" i="1"/>
  <c r="E81" i="1"/>
  <c r="E82" i="1"/>
  <c r="E127" i="1"/>
  <c r="E79" i="1"/>
  <c r="F59" i="1"/>
  <c r="G59" i="1"/>
  <c r="G221" i="1"/>
  <c r="H59" i="1"/>
  <c r="H221" i="1"/>
  <c r="I59" i="1"/>
  <c r="J59" i="1"/>
  <c r="K59" i="1"/>
  <c r="K221" i="1"/>
  <c r="L59" i="1"/>
  <c r="L221" i="1"/>
  <c r="M59" i="1"/>
  <c r="N59" i="1"/>
  <c r="O59" i="1"/>
  <c r="O221" i="1"/>
  <c r="P59" i="1"/>
  <c r="P221" i="1"/>
  <c r="F60" i="1"/>
  <c r="G60" i="1"/>
  <c r="H60" i="1"/>
  <c r="H222" i="1"/>
  <c r="I60" i="1"/>
  <c r="I120" i="1"/>
  <c r="J60" i="1"/>
  <c r="K60" i="1"/>
  <c r="L60" i="1"/>
  <c r="L222" i="1"/>
  <c r="M60" i="1"/>
  <c r="M175" i="1"/>
  <c r="N60" i="1"/>
  <c r="O60" i="1"/>
  <c r="P60" i="1"/>
  <c r="P222" i="1"/>
  <c r="F61" i="1"/>
  <c r="F223" i="1"/>
  <c r="G61" i="1"/>
  <c r="H61" i="1"/>
  <c r="I61" i="1"/>
  <c r="I223" i="1"/>
  <c r="J61" i="1"/>
  <c r="J223" i="1"/>
  <c r="K61" i="1"/>
  <c r="L61" i="1"/>
  <c r="M61" i="1"/>
  <c r="M223" i="1"/>
  <c r="N61" i="1"/>
  <c r="N223" i="1"/>
  <c r="O61" i="1"/>
  <c r="P61" i="1"/>
  <c r="F62" i="1"/>
  <c r="F122" i="1"/>
  <c r="F219" i="1"/>
  <c r="G62" i="1"/>
  <c r="G122" i="1"/>
  <c r="H62" i="1"/>
  <c r="I62" i="1"/>
  <c r="I122" i="1"/>
  <c r="J62" i="1"/>
  <c r="K62" i="1"/>
  <c r="L62" i="1"/>
  <c r="M62" i="1"/>
  <c r="N62" i="1"/>
  <c r="O62" i="1"/>
  <c r="P62" i="1"/>
  <c r="E60" i="1"/>
  <c r="E222" i="1"/>
  <c r="E61" i="1"/>
  <c r="E176" i="1"/>
  <c r="E62" i="1"/>
  <c r="E122" i="1"/>
  <c r="E59" i="1"/>
  <c r="E221" i="1"/>
  <c r="D216" i="1"/>
  <c r="D62" i="1"/>
  <c r="D177" i="1"/>
  <c r="D61" i="1"/>
  <c r="D60" i="1"/>
  <c r="D59" i="1"/>
  <c r="F221" i="1"/>
  <c r="I221" i="1"/>
  <c r="J221" i="1"/>
  <c r="M221" i="1"/>
  <c r="N221" i="1"/>
  <c r="F222" i="1"/>
  <c r="G222" i="1"/>
  <c r="J222" i="1"/>
  <c r="K222" i="1"/>
  <c r="N222" i="1"/>
  <c r="O222" i="1"/>
  <c r="G223" i="1"/>
  <c r="H223" i="1"/>
  <c r="K223" i="1"/>
  <c r="L223" i="1"/>
  <c r="O223" i="1"/>
  <c r="P223" i="1"/>
  <c r="E223" i="1"/>
  <c r="E174" i="1"/>
  <c r="AM23" i="1"/>
  <c r="AM24" i="1"/>
  <c r="AM25" i="1"/>
  <c r="AM26" i="1"/>
  <c r="AM27" i="1"/>
  <c r="C38" i="2"/>
  <c r="B40" i="2"/>
  <c r="D24" i="3"/>
  <c r="D220" i="1"/>
  <c r="P20" i="7"/>
  <c r="B18" i="7"/>
  <c r="B17" i="7"/>
  <c r="B19" i="7"/>
  <c r="D164" i="1"/>
  <c r="D165" i="1"/>
  <c r="D166" i="1"/>
  <c r="D167" i="1"/>
  <c r="D211" i="1"/>
  <c r="O17" i="3"/>
  <c r="P17" i="3"/>
  <c r="C11" i="3"/>
  <c r="R207" i="1"/>
  <c r="I189" i="1"/>
  <c r="I190" i="1"/>
  <c r="I19" i="1"/>
  <c r="I20" i="1"/>
  <c r="D176" i="1"/>
  <c r="D175" i="1"/>
  <c r="D174" i="1"/>
  <c r="D172" i="1"/>
  <c r="D171" i="1"/>
  <c r="D170" i="1"/>
  <c r="D169" i="1"/>
  <c r="D168" i="1"/>
  <c r="D162" i="1"/>
  <c r="D161" i="1"/>
  <c r="D160" i="1"/>
  <c r="D159" i="1"/>
  <c r="D184" i="1"/>
  <c r="D185" i="1"/>
  <c r="D186" i="1"/>
  <c r="D187" i="1"/>
  <c r="D143" i="1"/>
  <c r="D178" i="1"/>
  <c r="D108" i="1"/>
  <c r="C97" i="1"/>
  <c r="C96" i="1"/>
  <c r="C95" i="1"/>
  <c r="C94" i="1"/>
  <c r="D88" i="1"/>
  <c r="E84" i="1"/>
  <c r="G30" i="1"/>
  <c r="I30" i="1"/>
  <c r="M30" i="1"/>
  <c r="I29" i="1"/>
  <c r="O29" i="1"/>
  <c r="E34" i="1"/>
  <c r="E189" i="1"/>
  <c r="M42" i="1"/>
  <c r="G41" i="1"/>
  <c r="G26" i="1"/>
  <c r="G186" i="1"/>
  <c r="F40" i="1"/>
  <c r="M40" i="1"/>
  <c r="M25" i="1"/>
  <c r="M185" i="1"/>
  <c r="L39" i="1"/>
  <c r="F39" i="1"/>
  <c r="E39" i="1"/>
  <c r="E24" i="1"/>
  <c r="O33" i="1"/>
  <c r="D127" i="1"/>
  <c r="D125" i="1"/>
  <c r="E114" i="1"/>
  <c r="F114" i="1"/>
  <c r="G114" i="1"/>
  <c r="H114" i="1"/>
  <c r="I114" i="1"/>
  <c r="I84" i="1"/>
  <c r="J114" i="1"/>
  <c r="K114" i="1"/>
  <c r="L114" i="1"/>
  <c r="M114" i="1"/>
  <c r="N114" i="1"/>
  <c r="O114" i="1"/>
  <c r="P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E117" i="1"/>
  <c r="E87" i="1"/>
  <c r="F117" i="1"/>
  <c r="G117" i="1"/>
  <c r="H117" i="1"/>
  <c r="I117" i="1"/>
  <c r="I87" i="1"/>
  <c r="J117" i="1"/>
  <c r="K117" i="1"/>
  <c r="L117" i="1"/>
  <c r="M117" i="1"/>
  <c r="N117" i="1"/>
  <c r="O117" i="1"/>
  <c r="P117" i="1"/>
  <c r="Q117" i="1"/>
  <c r="D13" i="1"/>
  <c r="P15" i="1"/>
  <c r="O15" i="1"/>
  <c r="N15" i="1"/>
  <c r="M15" i="1"/>
  <c r="L15" i="1"/>
  <c r="K15" i="1"/>
  <c r="J15" i="1"/>
  <c r="I15" i="1"/>
  <c r="H15" i="1"/>
  <c r="G15" i="1"/>
  <c r="F15" i="1"/>
  <c r="E15" i="1"/>
  <c r="F211" i="1"/>
  <c r="H212" i="1"/>
  <c r="H211" i="1"/>
  <c r="G211" i="1"/>
  <c r="E211" i="1"/>
  <c r="O8" i="1"/>
  <c r="M8" i="1"/>
  <c r="K8" i="1"/>
  <c r="H21" i="7" s="1"/>
  <c r="P8" i="1"/>
  <c r="N8" i="1"/>
  <c r="L8" i="1"/>
  <c r="J8" i="1"/>
  <c r="Q2" i="1"/>
  <c r="D124" i="1"/>
  <c r="D126" i="1"/>
  <c r="D23" i="1"/>
  <c r="D8" i="1"/>
  <c r="N16" i="7"/>
  <c r="M16" i="7"/>
  <c r="L16" i="7"/>
  <c r="K16" i="7"/>
  <c r="J16" i="7"/>
  <c r="I16" i="7"/>
  <c r="H16" i="7"/>
  <c r="G16" i="7"/>
  <c r="F16" i="7"/>
  <c r="E16" i="7"/>
  <c r="D16" i="7"/>
  <c r="C16" i="7"/>
  <c r="N15" i="7"/>
  <c r="M15" i="7"/>
  <c r="L15" i="7"/>
  <c r="K15" i="7"/>
  <c r="J15" i="7"/>
  <c r="I15" i="7"/>
  <c r="H15" i="7"/>
  <c r="G15" i="7"/>
  <c r="F15" i="7"/>
  <c r="Q15" i="7"/>
  <c r="E15" i="7"/>
  <c r="D15" i="7"/>
  <c r="C15" i="7"/>
  <c r="N14" i="7"/>
  <c r="N11" i="7"/>
  <c r="N28" i="2"/>
  <c r="M14" i="7"/>
  <c r="M11" i="7"/>
  <c r="M28" i="2"/>
  <c r="M11" i="8"/>
  <c r="L14" i="7"/>
  <c r="K14" i="7"/>
  <c r="J14" i="7"/>
  <c r="I14" i="7"/>
  <c r="I11" i="7"/>
  <c r="I28" i="2"/>
  <c r="I11" i="8"/>
  <c r="H14" i="7"/>
  <c r="G14" i="7"/>
  <c r="F14" i="7"/>
  <c r="E14" i="7"/>
  <c r="D14" i="7"/>
  <c r="C14" i="7"/>
  <c r="Q13" i="7"/>
  <c r="F19" i="5"/>
  <c r="E10" i="5"/>
  <c r="I27" i="4"/>
  <c r="I26" i="4"/>
  <c r="I25" i="4"/>
  <c r="I24" i="4"/>
  <c r="I18" i="4"/>
  <c r="C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I3" i="4"/>
  <c r="D26" i="3"/>
  <c r="C26" i="3"/>
  <c r="O18" i="3"/>
  <c r="P18" i="3"/>
  <c r="O16" i="3"/>
  <c r="P16" i="3"/>
  <c r="N15" i="3"/>
  <c r="N19" i="3"/>
  <c r="M15" i="3"/>
  <c r="M19" i="3"/>
  <c r="L15" i="3"/>
  <c r="L19" i="3"/>
  <c r="H15" i="3"/>
  <c r="G15" i="3"/>
  <c r="G19" i="3"/>
  <c r="F15" i="3"/>
  <c r="F19" i="3"/>
  <c r="O14" i="3"/>
  <c r="P14" i="3"/>
  <c r="P13" i="3"/>
  <c r="O13" i="3"/>
  <c r="O12" i="3"/>
  <c r="P12" i="3"/>
  <c r="N11" i="3"/>
  <c r="M11" i="3"/>
  <c r="L11" i="3"/>
  <c r="K11" i="3"/>
  <c r="J11" i="3"/>
  <c r="I11" i="3"/>
  <c r="H11" i="3"/>
  <c r="G11" i="3"/>
  <c r="F11" i="3"/>
  <c r="E11" i="3"/>
  <c r="D11" i="3"/>
  <c r="O11" i="3"/>
  <c r="P11" i="3"/>
  <c r="P10" i="3"/>
  <c r="O10" i="3"/>
  <c r="N38" i="2"/>
  <c r="M38" i="2"/>
  <c r="L38" i="2"/>
  <c r="K38" i="2"/>
  <c r="J38" i="2"/>
  <c r="I38" i="2"/>
  <c r="H38" i="2"/>
  <c r="G38" i="2"/>
  <c r="F38" i="2"/>
  <c r="E38" i="2"/>
  <c r="D38" i="2"/>
  <c r="B38" i="2"/>
  <c r="O34" i="2"/>
  <c r="P34" i="2"/>
  <c r="O33" i="2"/>
  <c r="P33" i="2"/>
  <c r="O32" i="2"/>
  <c r="P32" i="2"/>
  <c r="O31" i="2"/>
  <c r="P31" i="2"/>
  <c r="O23" i="2"/>
  <c r="P23" i="2"/>
  <c r="O22" i="2"/>
  <c r="P22" i="2"/>
  <c r="P21" i="2"/>
  <c r="O21" i="2"/>
  <c r="O20" i="2"/>
  <c r="P20" i="2"/>
  <c r="O12" i="2"/>
  <c r="P12" i="2"/>
  <c r="O11" i="2"/>
  <c r="P11" i="2"/>
  <c r="O10" i="2"/>
  <c r="P10" i="2"/>
  <c r="D219" i="1"/>
  <c r="D218" i="1"/>
  <c r="D217" i="1"/>
  <c r="P214" i="1"/>
  <c r="O214" i="1"/>
  <c r="N214" i="1"/>
  <c r="M214" i="1"/>
  <c r="L214" i="1"/>
  <c r="K214" i="1"/>
  <c r="J214" i="1"/>
  <c r="D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P212" i="1"/>
  <c r="O212" i="1"/>
  <c r="N212" i="1"/>
  <c r="M212" i="1"/>
  <c r="L212" i="1"/>
  <c r="K212" i="1"/>
  <c r="J212" i="1"/>
  <c r="I212" i="1"/>
  <c r="G212" i="1"/>
  <c r="F212" i="1"/>
  <c r="E212" i="1"/>
  <c r="D212" i="1"/>
  <c r="R206" i="1"/>
  <c r="R205" i="1"/>
  <c r="R204" i="1"/>
  <c r="R203" i="1"/>
  <c r="R202" i="1"/>
  <c r="R201" i="1"/>
  <c r="R200" i="1"/>
  <c r="R199" i="1"/>
  <c r="R197" i="1"/>
  <c r="R196" i="1"/>
  <c r="R195" i="1"/>
  <c r="R194" i="1"/>
  <c r="D188" i="1"/>
  <c r="P176" i="1"/>
  <c r="O176" i="1"/>
  <c r="N176" i="1"/>
  <c r="L176" i="1"/>
  <c r="K176" i="1"/>
  <c r="J176" i="1"/>
  <c r="H176" i="1"/>
  <c r="G176" i="1"/>
  <c r="F176" i="1"/>
  <c r="P175" i="1"/>
  <c r="O175" i="1"/>
  <c r="N175" i="1"/>
  <c r="L175" i="1"/>
  <c r="K175" i="1"/>
  <c r="J175" i="1"/>
  <c r="H175" i="1"/>
  <c r="G175" i="1"/>
  <c r="F175" i="1"/>
  <c r="P174" i="1"/>
  <c r="O174" i="1"/>
  <c r="N174" i="1"/>
  <c r="M174" i="1"/>
  <c r="L174" i="1"/>
  <c r="K174" i="1"/>
  <c r="J174" i="1"/>
  <c r="I174" i="1"/>
  <c r="H174" i="1"/>
  <c r="G174" i="1"/>
  <c r="F174" i="1"/>
  <c r="D138" i="1"/>
  <c r="D133" i="1"/>
  <c r="D128" i="1"/>
  <c r="D123" i="1"/>
  <c r="D78" i="1"/>
  <c r="D118" i="1"/>
  <c r="R117" i="1"/>
  <c r="R115" i="1"/>
  <c r="R114" i="1"/>
  <c r="R112" i="1"/>
  <c r="R111" i="1"/>
  <c r="R110" i="1"/>
  <c r="R109" i="1"/>
  <c r="D103" i="1"/>
  <c r="D98" i="1"/>
  <c r="D93" i="1"/>
  <c r="R77" i="1"/>
  <c r="R76" i="1"/>
  <c r="R75" i="1"/>
  <c r="R74" i="1"/>
  <c r="R73" i="1"/>
  <c r="R72" i="1"/>
  <c r="R71" i="1"/>
  <c r="R70" i="1"/>
  <c r="R69" i="1"/>
  <c r="R68" i="1"/>
  <c r="R52" i="1"/>
  <c r="R51" i="1"/>
  <c r="R50" i="1"/>
  <c r="R49" i="1"/>
  <c r="R48" i="1"/>
  <c r="R47" i="1"/>
  <c r="R46" i="1"/>
  <c r="R45" i="1"/>
  <c r="R44" i="1"/>
  <c r="R43" i="1"/>
  <c r="D38" i="1"/>
  <c r="D113" i="1"/>
  <c r="P37" i="1"/>
  <c r="P22" i="1"/>
  <c r="O37" i="1"/>
  <c r="N37" i="1"/>
  <c r="M37" i="1"/>
  <c r="M142" i="1"/>
  <c r="L37" i="1"/>
  <c r="L42" i="1"/>
  <c r="L192" i="1"/>
  <c r="K37" i="1"/>
  <c r="K32" i="1" s="1"/>
  <c r="Q32" i="1" s="1"/>
  <c r="R32" i="1" s="1"/>
  <c r="J37" i="1"/>
  <c r="J42" i="1"/>
  <c r="P36" i="1"/>
  <c r="O36" i="1"/>
  <c r="O41" i="1"/>
  <c r="O26" i="1"/>
  <c r="O186" i="1"/>
  <c r="O191" i="1"/>
  <c r="N36" i="1"/>
  <c r="N191" i="1"/>
  <c r="M36" i="1"/>
  <c r="L36" i="1"/>
  <c r="K36" i="1"/>
  <c r="K41" i="1"/>
  <c r="K86" i="1"/>
  <c r="K101" i="1"/>
  <c r="K191" i="1"/>
  <c r="J36" i="1"/>
  <c r="J191" i="1"/>
  <c r="I36" i="1"/>
  <c r="I41" i="1"/>
  <c r="H36" i="1"/>
  <c r="G36" i="1"/>
  <c r="G191" i="1"/>
  <c r="F36" i="1"/>
  <c r="F191" i="1"/>
  <c r="E36" i="1"/>
  <c r="P35" i="1"/>
  <c r="P190" i="1"/>
  <c r="O35" i="1"/>
  <c r="O30" i="1"/>
  <c r="O190" i="1"/>
  <c r="N35" i="1"/>
  <c r="M35" i="1"/>
  <c r="M20" i="1"/>
  <c r="L35" i="1"/>
  <c r="K35" i="1"/>
  <c r="K30" i="1" s="1"/>
  <c r="Q30" i="1" s="1"/>
  <c r="J35" i="1"/>
  <c r="H35" i="1"/>
  <c r="G35" i="1"/>
  <c r="G40" i="1"/>
  <c r="G85" i="1"/>
  <c r="G100" i="1"/>
  <c r="G190" i="1"/>
  <c r="F35" i="1"/>
  <c r="F30" i="1"/>
  <c r="F190" i="1"/>
  <c r="E35" i="1"/>
  <c r="E40" i="1"/>
  <c r="E190" i="1"/>
  <c r="D33" i="1"/>
  <c r="P32" i="1"/>
  <c r="M32" i="1"/>
  <c r="I31" i="1"/>
  <c r="D28" i="1"/>
  <c r="L22" i="1"/>
  <c r="J22" i="1"/>
  <c r="N21" i="1"/>
  <c r="N106" i="1"/>
  <c r="L21" i="1"/>
  <c r="J21" i="1"/>
  <c r="F21" i="1"/>
  <c r="P20" i="1"/>
  <c r="N20" i="1"/>
  <c r="J20" i="1"/>
  <c r="F20" i="1"/>
  <c r="D18" i="1"/>
  <c r="D198" i="1"/>
  <c r="P17" i="1"/>
  <c r="O17" i="1"/>
  <c r="O13" i="1"/>
  <c r="N17" i="1"/>
  <c r="M17" i="1"/>
  <c r="L17" i="1"/>
  <c r="K17" i="1"/>
  <c r="J17" i="1"/>
  <c r="P16" i="1"/>
  <c r="O16" i="1"/>
  <c r="N16" i="1"/>
  <c r="N13" i="1"/>
  <c r="M16" i="1"/>
  <c r="L16" i="1"/>
  <c r="K16" i="1"/>
  <c r="J16" i="1"/>
  <c r="J14" i="1"/>
  <c r="J13" i="1"/>
  <c r="I16" i="1"/>
  <c r="H16" i="1"/>
  <c r="G16" i="1"/>
  <c r="F16" i="1"/>
  <c r="E16" i="1"/>
  <c r="R7" i="1"/>
  <c r="R6" i="1"/>
  <c r="R5" i="1"/>
  <c r="R4" i="1"/>
  <c r="Q3" i="1"/>
  <c r="P3" i="1"/>
  <c r="O3" i="1"/>
  <c r="N3" i="1"/>
  <c r="M3" i="1"/>
  <c r="L3" i="1"/>
  <c r="K3" i="1"/>
  <c r="J3" i="1"/>
  <c r="I3" i="1"/>
  <c r="H3" i="1"/>
  <c r="G3" i="1"/>
  <c r="E3" i="1"/>
  <c r="D3" i="1"/>
  <c r="E20" i="1"/>
  <c r="G20" i="1"/>
  <c r="I105" i="1"/>
  <c r="M105" i="1"/>
  <c r="O20" i="1"/>
  <c r="G21" i="1"/>
  <c r="I21" i="1"/>
  <c r="I106" i="1"/>
  <c r="K21" i="1"/>
  <c r="O21" i="1"/>
  <c r="I107" i="1"/>
  <c r="K22" i="1"/>
  <c r="M22" i="1"/>
  <c r="M107" i="1"/>
  <c r="O22" i="1"/>
  <c r="G31" i="1"/>
  <c r="K31" i="1"/>
  <c r="O31" i="1"/>
  <c r="O32" i="1"/>
  <c r="Q212" i="1"/>
  <c r="F31" i="1"/>
  <c r="J31" i="1"/>
  <c r="L31" i="1"/>
  <c r="N31" i="1"/>
  <c r="J32" i="1"/>
  <c r="L32" i="1"/>
  <c r="O15" i="3"/>
  <c r="P15" i="3"/>
  <c r="Q16" i="1"/>
  <c r="R16" i="1"/>
  <c r="Q213" i="1"/>
  <c r="Q11" i="1"/>
  <c r="R11" i="1"/>
  <c r="R213" i="1"/>
  <c r="F105" i="1"/>
  <c r="J105" i="1"/>
  <c r="N105" i="1"/>
  <c r="P105" i="1"/>
  <c r="F106" i="1"/>
  <c r="J106" i="1"/>
  <c r="L106" i="1"/>
  <c r="J107" i="1"/>
  <c r="L107" i="1"/>
  <c r="P107" i="1"/>
  <c r="G105" i="1"/>
  <c r="O105" i="1"/>
  <c r="G106" i="1"/>
  <c r="K106" i="1"/>
  <c r="O106" i="1"/>
  <c r="G107" i="1"/>
  <c r="K107" i="1"/>
  <c r="O107" i="1"/>
  <c r="N147" i="1"/>
  <c r="P192" i="1"/>
  <c r="P147" i="1"/>
  <c r="F120" i="1"/>
  <c r="J120" i="1"/>
  <c r="N120" i="1"/>
  <c r="P120" i="1"/>
  <c r="G121" i="1"/>
  <c r="I121" i="1"/>
  <c r="K121" i="1"/>
  <c r="O121" i="1"/>
  <c r="F125" i="1"/>
  <c r="J125" i="1"/>
  <c r="N125" i="1"/>
  <c r="P125" i="1"/>
  <c r="G126" i="1"/>
  <c r="I126" i="1"/>
  <c r="K126" i="1"/>
  <c r="O126" i="1"/>
  <c r="J127" i="1"/>
  <c r="L127" i="1"/>
  <c r="P127" i="1"/>
  <c r="F135" i="1"/>
  <c r="J135" i="1"/>
  <c r="N135" i="1"/>
  <c r="P135" i="1"/>
  <c r="F136" i="1"/>
  <c r="J136" i="1"/>
  <c r="L136" i="1"/>
  <c r="N136" i="1"/>
  <c r="E140" i="1"/>
  <c r="G140" i="1"/>
  <c r="M140" i="1"/>
  <c r="O140" i="1"/>
  <c r="G141" i="1"/>
  <c r="I141" i="1"/>
  <c r="K141" i="1"/>
  <c r="O141" i="1"/>
  <c r="K142" i="1"/>
  <c r="Q142" i="1" s="1"/>
  <c r="F145" i="1"/>
  <c r="J145" i="1"/>
  <c r="N145" i="1"/>
  <c r="P145" i="1"/>
  <c r="F146" i="1"/>
  <c r="J146" i="1"/>
  <c r="L146" i="1"/>
  <c r="N146" i="1"/>
  <c r="J147" i="1"/>
  <c r="L147" i="1"/>
  <c r="R212" i="1"/>
  <c r="M192" i="1"/>
  <c r="M147" i="1"/>
  <c r="O192" i="1"/>
  <c r="O147" i="1"/>
  <c r="G120" i="1"/>
  <c r="G165" i="1"/>
  <c r="M120" i="1"/>
  <c r="O120" i="1"/>
  <c r="F121" i="1"/>
  <c r="J121" i="1"/>
  <c r="L121" i="1"/>
  <c r="N121" i="1"/>
  <c r="E125" i="1"/>
  <c r="G125" i="1"/>
  <c r="I125" i="1"/>
  <c r="K125" i="1"/>
  <c r="Q125" i="1" s="1"/>
  <c r="M125" i="1"/>
  <c r="O125" i="1"/>
  <c r="F126" i="1"/>
  <c r="H126" i="1"/>
  <c r="J126" i="1"/>
  <c r="L126" i="1"/>
  <c r="N126" i="1"/>
  <c r="G127" i="1"/>
  <c r="I127" i="1"/>
  <c r="M127" i="1"/>
  <c r="O127" i="1"/>
  <c r="E135" i="1"/>
  <c r="G135" i="1"/>
  <c r="I135" i="1"/>
  <c r="M135" i="1"/>
  <c r="O135" i="1"/>
  <c r="E136" i="1"/>
  <c r="G136" i="1"/>
  <c r="I136" i="1"/>
  <c r="K136" i="1"/>
  <c r="O136" i="1"/>
  <c r="F140" i="1"/>
  <c r="J140" i="1"/>
  <c r="N140" i="1"/>
  <c r="P140" i="1"/>
  <c r="F141" i="1"/>
  <c r="J141" i="1"/>
  <c r="L141" i="1"/>
  <c r="N141" i="1"/>
  <c r="J142" i="1"/>
  <c r="L142" i="1"/>
  <c r="P142" i="1"/>
  <c r="G145" i="1"/>
  <c r="I145" i="1"/>
  <c r="M145" i="1"/>
  <c r="O145" i="1"/>
  <c r="G146" i="1"/>
  <c r="I146" i="1"/>
  <c r="K146" i="1"/>
  <c r="O146" i="1"/>
  <c r="G147" i="1"/>
  <c r="I147" i="1"/>
  <c r="R3" i="1"/>
  <c r="K9" i="3"/>
  <c r="M9" i="3"/>
  <c r="I9" i="3"/>
  <c r="N218" i="1"/>
  <c r="N171" i="1"/>
  <c r="N131" i="1"/>
  <c r="J218" i="1"/>
  <c r="J171" i="1"/>
  <c r="J131" i="1"/>
  <c r="F171" i="1"/>
  <c r="F218" i="1"/>
  <c r="F131" i="1"/>
  <c r="M217" i="1"/>
  <c r="M170" i="1"/>
  <c r="M130" i="1"/>
  <c r="I217" i="1"/>
  <c r="I170" i="1"/>
  <c r="I130" i="1"/>
  <c r="I102" i="1"/>
  <c r="I92" i="1"/>
  <c r="I97" i="1"/>
  <c r="M85" i="1"/>
  <c r="M100" i="1"/>
  <c r="M90" i="1"/>
  <c r="I185" i="1"/>
  <c r="I218" i="1"/>
  <c r="I171" i="1"/>
  <c r="I131" i="1"/>
  <c r="N217" i="1"/>
  <c r="N170" i="1"/>
  <c r="N130" i="1"/>
  <c r="J217" i="1"/>
  <c r="J170" i="1"/>
  <c r="J130" i="1"/>
  <c r="F217" i="1"/>
  <c r="F170" i="1"/>
  <c r="F130" i="1"/>
  <c r="J87" i="1"/>
  <c r="J102" i="1"/>
  <c r="J92" i="1"/>
  <c r="J97" i="1"/>
  <c r="J27" i="1"/>
  <c r="L218" i="1"/>
  <c r="L171" i="1"/>
  <c r="L131" i="1"/>
  <c r="O217" i="1"/>
  <c r="O170" i="1"/>
  <c r="O130" i="1"/>
  <c r="G217" i="1"/>
  <c r="G170" i="1"/>
  <c r="G130" i="1"/>
  <c r="O86" i="1"/>
  <c r="O101" i="1"/>
  <c r="O91" i="1"/>
  <c r="K26" i="1"/>
  <c r="K186" i="1"/>
  <c r="K91" i="1"/>
  <c r="G86" i="1"/>
  <c r="G101" i="1"/>
  <c r="G91" i="1"/>
  <c r="G161" i="1"/>
  <c r="G25" i="1"/>
  <c r="G185" i="1"/>
  <c r="G90" i="1"/>
  <c r="G95" i="1"/>
  <c r="O171" i="1"/>
  <c r="K131" i="1"/>
  <c r="P217" i="1"/>
  <c r="G160" i="1"/>
  <c r="O211" i="1"/>
  <c r="O210" i="1"/>
  <c r="M211" i="1"/>
  <c r="M210" i="1"/>
  <c r="K211" i="1"/>
  <c r="K210" i="1" s="1"/>
  <c r="I211" i="1"/>
  <c r="G210" i="1"/>
  <c r="P211" i="1"/>
  <c r="P210" i="1"/>
  <c r="N211" i="1"/>
  <c r="N210" i="1"/>
  <c r="L211" i="1"/>
  <c r="L210" i="1"/>
  <c r="J211" i="1"/>
  <c r="J210" i="1"/>
  <c r="N34" i="1"/>
  <c r="N119" i="1"/>
  <c r="N14" i="1"/>
  <c r="L34" i="1"/>
  <c r="L189" i="1"/>
  <c r="L14" i="1"/>
  <c r="L13" i="1"/>
  <c r="G14" i="1"/>
  <c r="G13" i="1"/>
  <c r="G34" i="1"/>
  <c r="G33" i="1"/>
  <c r="M34" i="1"/>
  <c r="M39" i="1"/>
  <c r="M189" i="1"/>
  <c r="H14" i="1"/>
  <c r="H34" i="1"/>
  <c r="K14" i="1"/>
  <c r="K34" i="1"/>
  <c r="K39" i="1" s="1"/>
  <c r="M14" i="1"/>
  <c r="M13" i="1"/>
  <c r="F14" i="1"/>
  <c r="F13" i="1"/>
  <c r="F34" i="1"/>
  <c r="F29" i="1"/>
  <c r="F28" i="1"/>
  <c r="J34" i="1"/>
  <c r="I14" i="1"/>
  <c r="I13" i="1"/>
  <c r="O34" i="1"/>
  <c r="O39" i="1"/>
  <c r="O24" i="1"/>
  <c r="O119" i="1"/>
  <c r="O14" i="1"/>
  <c r="P14" i="1"/>
  <c r="P13" i="1"/>
  <c r="P34" i="1"/>
  <c r="E14" i="1"/>
  <c r="P119" i="1"/>
  <c r="P29" i="1"/>
  <c r="P39" i="1"/>
  <c r="P24" i="1"/>
  <c r="G189" i="1"/>
  <c r="G188" i="1"/>
  <c r="F119" i="1"/>
  <c r="F118" i="1"/>
  <c r="E19" i="1"/>
  <c r="I169" i="1"/>
  <c r="G119" i="1"/>
  <c r="G129" i="1"/>
  <c r="L119" i="1"/>
  <c r="L169" i="1"/>
  <c r="P19" i="1"/>
  <c r="P124" i="1"/>
  <c r="P144" i="1"/>
  <c r="P139" i="1"/>
  <c r="P134" i="1"/>
  <c r="P184" i="1"/>
  <c r="O216" i="1"/>
  <c r="O169" i="1"/>
  <c r="I216" i="1"/>
  <c r="F216" i="1"/>
  <c r="F169" i="1"/>
  <c r="H124" i="1"/>
  <c r="H19" i="1"/>
  <c r="H144" i="1"/>
  <c r="H139" i="1"/>
  <c r="H134" i="1"/>
  <c r="L216" i="1"/>
  <c r="N216" i="1"/>
  <c r="N169" i="1"/>
  <c r="H119" i="1"/>
  <c r="P169" i="1"/>
  <c r="O28" i="1"/>
  <c r="O19" i="1"/>
  <c r="O124" i="1"/>
  <c r="O134" i="1"/>
  <c r="O139" i="1"/>
  <c r="O144" i="1"/>
  <c r="O143" i="1"/>
  <c r="O178" i="1"/>
  <c r="I124" i="1"/>
  <c r="I123" i="1"/>
  <c r="I144" i="1"/>
  <c r="I143" i="1"/>
  <c r="I28" i="1"/>
  <c r="F134" i="1"/>
  <c r="F133" i="1"/>
  <c r="D7" i="2"/>
  <c r="F19" i="1"/>
  <c r="F124" i="1"/>
  <c r="F123" i="1"/>
  <c r="F139" i="1"/>
  <c r="K134" i="1"/>
  <c r="K139" i="1"/>
  <c r="K144" i="1"/>
  <c r="K124" i="1"/>
  <c r="K129" i="1" s="1"/>
  <c r="K19" i="1"/>
  <c r="M134" i="1"/>
  <c r="M19" i="1"/>
  <c r="M124" i="1"/>
  <c r="M139" i="1"/>
  <c r="M144" i="1"/>
  <c r="G124" i="1"/>
  <c r="G123" i="1"/>
  <c r="G134" i="1"/>
  <c r="G139" i="1"/>
  <c r="G138" i="1"/>
  <c r="G144" i="1"/>
  <c r="G143" i="1"/>
  <c r="G19" i="1"/>
  <c r="G18" i="1"/>
  <c r="L19" i="1"/>
  <c r="L124" i="1"/>
  <c r="L144" i="1"/>
  <c r="L139" i="1"/>
  <c r="L134" i="1"/>
  <c r="N124" i="1"/>
  <c r="N134" i="1"/>
  <c r="N19" i="1"/>
  <c r="N144" i="1"/>
  <c r="N143" i="1"/>
  <c r="L9" i="2"/>
  <c r="N139" i="1"/>
  <c r="N189" i="1"/>
  <c r="P189" i="1"/>
  <c r="O189" i="1"/>
  <c r="O188" i="1"/>
  <c r="O198" i="1"/>
  <c r="K119" i="1"/>
  <c r="H189" i="1"/>
  <c r="M119" i="1"/>
  <c r="M164" i="1"/>
  <c r="F189" i="1"/>
  <c r="G193" i="1"/>
  <c r="P129" i="1"/>
  <c r="L84" i="1"/>
  <c r="L24" i="1"/>
  <c r="G103" i="1"/>
  <c r="G153" i="1"/>
  <c r="G53" i="1"/>
  <c r="M104" i="1"/>
  <c r="K84" i="1"/>
  <c r="F24" i="1"/>
  <c r="F104" i="1"/>
  <c r="I104" i="1"/>
  <c r="O84" i="1"/>
  <c r="P84" i="1"/>
  <c r="P104" i="1"/>
  <c r="G78" i="1"/>
  <c r="N129" i="1"/>
  <c r="L129" i="1"/>
  <c r="F129" i="1"/>
  <c r="I129" i="1"/>
  <c r="I128" i="1"/>
  <c r="K216" i="1"/>
  <c r="K169" i="1"/>
  <c r="M84" i="1"/>
  <c r="M24" i="1"/>
  <c r="M169" i="1"/>
  <c r="M216" i="1"/>
  <c r="L184" i="1"/>
  <c r="L104" i="1"/>
  <c r="K104" i="1"/>
  <c r="O184" i="1"/>
  <c r="O104" i="1"/>
  <c r="O18" i="1"/>
  <c r="O103" i="1"/>
  <c r="O53" i="1"/>
  <c r="H216" i="1"/>
  <c r="H169" i="1"/>
  <c r="H129" i="1"/>
  <c r="H104" i="1"/>
  <c r="M184" i="1"/>
  <c r="F184" i="1"/>
  <c r="O99" i="1"/>
  <c r="O89" i="1"/>
  <c r="E99" i="1"/>
  <c r="M99" i="1"/>
  <c r="P99" i="1"/>
  <c r="E89" i="1"/>
  <c r="E94" i="1"/>
  <c r="M89" i="1"/>
  <c r="M94" i="1"/>
  <c r="M159" i="1"/>
  <c r="E177" i="1"/>
  <c r="I177" i="1"/>
  <c r="N177" i="1"/>
  <c r="P177" i="1"/>
  <c r="K177" i="1"/>
  <c r="L177" i="1"/>
  <c r="H177" i="1"/>
  <c r="K137" i="1"/>
  <c r="F177" i="1"/>
  <c r="N137" i="1"/>
  <c r="J177" i="1"/>
  <c r="J137" i="1"/>
  <c r="G177" i="1"/>
  <c r="G137" i="1"/>
  <c r="M137" i="1"/>
  <c r="M177" i="1"/>
  <c r="O177" i="1"/>
  <c r="O137" i="1"/>
  <c r="P137" i="1"/>
  <c r="J122" i="1"/>
  <c r="J167" i="1"/>
  <c r="I137" i="1"/>
  <c r="L137" i="1"/>
  <c r="K122" i="1"/>
  <c r="M122" i="1"/>
  <c r="O122" i="1"/>
  <c r="O172" i="1"/>
  <c r="O168" i="1"/>
  <c r="N122" i="1"/>
  <c r="N118" i="1"/>
  <c r="P122" i="1"/>
  <c r="L122" i="1"/>
  <c r="I167" i="1"/>
  <c r="G172" i="1"/>
  <c r="P172" i="1"/>
  <c r="I172" i="1"/>
  <c r="I168" i="1"/>
  <c r="J162" i="1"/>
  <c r="J187" i="1"/>
  <c r="M219" i="1"/>
  <c r="M172" i="1"/>
  <c r="F172" i="1"/>
  <c r="F168" i="1"/>
  <c r="I162" i="1"/>
  <c r="I133" i="1"/>
  <c r="O133" i="1"/>
  <c r="E172" i="1"/>
  <c r="G219" i="1"/>
  <c r="G132" i="1"/>
  <c r="L219" i="1"/>
  <c r="L132" i="1"/>
  <c r="P219" i="1"/>
  <c r="P132" i="1"/>
  <c r="J219" i="1"/>
  <c r="G133" i="1"/>
  <c r="L6" i="2"/>
  <c r="I132" i="1"/>
  <c r="G8" i="2"/>
  <c r="O132" i="1"/>
  <c r="I187" i="1"/>
  <c r="N219" i="1"/>
  <c r="O219" i="1"/>
  <c r="G187" i="1"/>
  <c r="J172" i="1"/>
  <c r="L5" i="2"/>
  <c r="L27" i="2"/>
  <c r="L10" i="8"/>
  <c r="G148" i="1"/>
  <c r="E7" i="2"/>
  <c r="M7" i="2"/>
  <c r="O148" i="1"/>
  <c r="G7" i="2"/>
  <c r="L36" i="2"/>
  <c r="L37" i="2"/>
  <c r="L8" i="3"/>
  <c r="L4" i="3"/>
  <c r="L4" i="2"/>
  <c r="L37" i="3"/>
  <c r="L38" i="3"/>
  <c r="L46" i="3"/>
  <c r="L47" i="3"/>
  <c r="L6" i="3"/>
  <c r="I219" i="1"/>
  <c r="J132" i="1"/>
  <c r="P216" i="1"/>
  <c r="L172" i="1"/>
  <c r="N215" i="1"/>
  <c r="O118" i="1"/>
  <c r="M9" i="2"/>
  <c r="D183" i="1"/>
  <c r="M6" i="2"/>
  <c r="O215" i="1"/>
  <c r="O58" i="1"/>
  <c r="K21" i="3"/>
  <c r="M209" i="1"/>
  <c r="G21" i="3"/>
  <c r="I209" i="1"/>
  <c r="I21" i="3"/>
  <c r="K209" i="1"/>
  <c r="M5" i="2"/>
  <c r="M27" i="2"/>
  <c r="M10" i="8"/>
  <c r="O173" i="1"/>
  <c r="M37" i="2"/>
  <c r="M4" i="3"/>
  <c r="M46" i="3"/>
  <c r="M47" i="3"/>
  <c r="M36" i="2"/>
  <c r="M4" i="2"/>
  <c r="E21" i="3"/>
  <c r="G209" i="1"/>
  <c r="O209" i="1"/>
  <c r="M6" i="3"/>
  <c r="M37" i="3"/>
  <c r="M38" i="3"/>
  <c r="M21" i="3"/>
  <c r="E209" i="1"/>
  <c r="F209" i="1"/>
  <c r="H209" i="1"/>
  <c r="F21" i="3"/>
  <c r="P209" i="1"/>
  <c r="N21" i="3"/>
  <c r="N209" i="1"/>
  <c r="L21" i="3"/>
  <c r="J209" i="1"/>
  <c r="H21" i="3"/>
  <c r="L209" i="1"/>
  <c r="J21" i="3"/>
  <c r="P35" i="2"/>
  <c r="Q209" i="1"/>
  <c r="R209" i="1"/>
  <c r="H39" i="1"/>
  <c r="H29" i="1"/>
  <c r="H40" i="1"/>
  <c r="Q10" i="1"/>
  <c r="T55" i="1"/>
  <c r="H190" i="1"/>
  <c r="H30" i="1"/>
  <c r="H24" i="1"/>
  <c r="R10" i="1"/>
  <c r="H85" i="1"/>
  <c r="H25" i="1"/>
  <c r="H100" i="1"/>
  <c r="H90" i="1"/>
  <c r="P164" i="1"/>
  <c r="P89" i="1"/>
  <c r="M123" i="1"/>
  <c r="M78" i="1"/>
  <c r="M129" i="1"/>
  <c r="J11" i="8"/>
  <c r="J9" i="3"/>
  <c r="T209" i="1"/>
  <c r="M34" i="3"/>
  <c r="M8" i="3"/>
  <c r="M42" i="2"/>
  <c r="M132" i="1"/>
  <c r="L99" i="1"/>
  <c r="O193" i="1"/>
  <c r="N188" i="1"/>
  <c r="N104" i="1"/>
  <c r="O123" i="1"/>
  <c r="O78" i="1"/>
  <c r="O220" i="1"/>
  <c r="O129" i="1"/>
  <c r="P143" i="1"/>
  <c r="G166" i="1"/>
  <c r="G218" i="1"/>
  <c r="G171" i="1"/>
  <c r="G131" i="1"/>
  <c r="G128" i="1"/>
  <c r="E8" i="2"/>
  <c r="O208" i="1"/>
  <c r="M13" i="2"/>
  <c r="O159" i="1"/>
  <c r="O94" i="1"/>
  <c r="H184" i="1"/>
  <c r="H84" i="1"/>
  <c r="L138" i="1"/>
  <c r="G118" i="1"/>
  <c r="G169" i="1"/>
  <c r="G168" i="1"/>
  <c r="G216" i="1"/>
  <c r="P123" i="1"/>
  <c r="F25" i="1"/>
  <c r="F185" i="1"/>
  <c r="F85" i="1"/>
  <c r="F100" i="1"/>
  <c r="F90" i="1"/>
  <c r="G178" i="1"/>
  <c r="E9" i="2"/>
  <c r="F11" i="7"/>
  <c r="F28" i="2"/>
  <c r="Q12" i="7"/>
  <c r="O21" i="3"/>
  <c r="P21" i="3"/>
  <c r="M40" i="2"/>
  <c r="G9" i="2"/>
  <c r="J29" i="1"/>
  <c r="J30" i="1"/>
  <c r="J28" i="1"/>
  <c r="J39" i="1"/>
  <c r="J119" i="1"/>
  <c r="J139" i="1"/>
  <c r="J138" i="1"/>
  <c r="J19" i="1"/>
  <c r="J33" i="1"/>
  <c r="J124" i="1"/>
  <c r="J123" i="1"/>
  <c r="J78" i="1"/>
  <c r="Q34" i="1"/>
  <c r="J144" i="1"/>
  <c r="J143" i="1"/>
  <c r="J134" i="1"/>
  <c r="J189" i="1"/>
  <c r="N133" i="1"/>
  <c r="E105" i="1"/>
  <c r="Q35" i="1"/>
  <c r="R35" i="1" s="1"/>
  <c r="H135" i="1"/>
  <c r="H20" i="1"/>
  <c r="H125" i="1"/>
  <c r="H145" i="1"/>
  <c r="H140" i="1"/>
  <c r="H120" i="1"/>
  <c r="L190" i="1"/>
  <c r="L188" i="1"/>
  <c r="L20" i="1"/>
  <c r="L18" i="1"/>
  <c r="L103" i="1"/>
  <c r="L135" i="1"/>
  <c r="L125" i="1"/>
  <c r="L123" i="1"/>
  <c r="L78" i="1"/>
  <c r="L145" i="1"/>
  <c r="L143" i="1"/>
  <c r="L140" i="1"/>
  <c r="L30" i="1"/>
  <c r="L40" i="1"/>
  <c r="L120" i="1"/>
  <c r="M31" i="1"/>
  <c r="M191" i="1"/>
  <c r="M126" i="1"/>
  <c r="M121" i="1"/>
  <c r="M141" i="1"/>
  <c r="M138" i="1"/>
  <c r="M146" i="1"/>
  <c r="M143" i="1"/>
  <c r="M33" i="1"/>
  <c r="M21" i="1"/>
  <c r="M136" i="1"/>
  <c r="M41" i="1"/>
  <c r="P41" i="1"/>
  <c r="P191" i="1"/>
  <c r="P188" i="1"/>
  <c r="P21" i="1"/>
  <c r="P136" i="1"/>
  <c r="P146" i="1"/>
  <c r="P141" i="1"/>
  <c r="P138" i="1"/>
  <c r="P31" i="1"/>
  <c r="P121" i="1"/>
  <c r="P126" i="1"/>
  <c r="P33" i="1"/>
  <c r="L87" i="1"/>
  <c r="L102" i="1"/>
  <c r="L27" i="1"/>
  <c r="L187" i="1"/>
  <c r="D215" i="1"/>
  <c r="D58" i="1"/>
  <c r="D163" i="1"/>
  <c r="Q15" i="1"/>
  <c r="E13" i="1"/>
  <c r="N208" i="1"/>
  <c r="L13" i="2"/>
  <c r="N172" i="1"/>
  <c r="N168" i="1"/>
  <c r="F128" i="1"/>
  <c r="D8" i="2"/>
  <c r="G104" i="1"/>
  <c r="F188" i="1"/>
  <c r="O164" i="1"/>
  <c r="K96" i="1"/>
  <c r="K161" i="1"/>
  <c r="O166" i="1"/>
  <c r="O131" i="1"/>
  <c r="O218" i="1"/>
  <c r="P170" i="1"/>
  <c r="P130" i="1"/>
  <c r="I13" i="4"/>
  <c r="N11" i="8"/>
  <c r="N9" i="3"/>
  <c r="F84" i="1"/>
  <c r="I210" i="1"/>
  <c r="K166" i="1"/>
  <c r="K218" i="1"/>
  <c r="K171" i="1"/>
  <c r="F165" i="1"/>
  <c r="G96" i="1"/>
  <c r="T56" i="1"/>
  <c r="E146" i="1"/>
  <c r="E191" i="1"/>
  <c r="Q36" i="1"/>
  <c r="E126" i="1"/>
  <c r="E21" i="1"/>
  <c r="E121" i="1"/>
  <c r="E41" i="1"/>
  <c r="E31" i="1"/>
  <c r="E141" i="1"/>
  <c r="H41" i="1"/>
  <c r="H191" i="1"/>
  <c r="H21" i="1"/>
  <c r="H136" i="1"/>
  <c r="H146" i="1"/>
  <c r="H141" i="1"/>
  <c r="H31" i="1"/>
  <c r="H121" i="1"/>
  <c r="N42" i="1"/>
  <c r="N32" i="1"/>
  <c r="N22" i="1"/>
  <c r="N142" i="1"/>
  <c r="N138" i="1"/>
  <c r="N192" i="1"/>
  <c r="N127" i="1"/>
  <c r="N123" i="1"/>
  <c r="N78" i="1"/>
  <c r="L33" i="1"/>
  <c r="J6" i="7"/>
  <c r="O161" i="1"/>
  <c r="O96" i="1"/>
  <c r="M160" i="1"/>
  <c r="M95" i="1"/>
  <c r="M165" i="1"/>
  <c r="E25" i="1"/>
  <c r="E85" i="1"/>
  <c r="I26" i="1"/>
  <c r="I186" i="1"/>
  <c r="I86" i="1"/>
  <c r="I101" i="1"/>
  <c r="I91" i="1"/>
  <c r="D148" i="1"/>
  <c r="D158" i="1"/>
  <c r="I28" i="4"/>
  <c r="I30" i="4"/>
  <c r="Q16" i="7"/>
  <c r="I99" i="1"/>
  <c r="M17" i="2"/>
  <c r="M18" i="2"/>
  <c r="M27" i="1"/>
  <c r="M187" i="1"/>
  <c r="M87" i="1"/>
  <c r="M102" i="1"/>
  <c r="M92" i="1"/>
  <c r="M97" i="1"/>
  <c r="D6" i="2"/>
  <c r="F215" i="1"/>
  <c r="K189" i="1"/>
  <c r="N6" i="7"/>
  <c r="D193" i="1"/>
  <c r="H6" i="7"/>
  <c r="M6" i="7"/>
  <c r="J40" i="1"/>
  <c r="J190" i="1"/>
  <c r="M190" i="1"/>
  <c r="M188" i="1"/>
  <c r="I191" i="1"/>
  <c r="I188" i="1"/>
  <c r="J192" i="1"/>
  <c r="O42" i="1"/>
  <c r="O142" i="1"/>
  <c r="O138" i="1"/>
  <c r="E26" i="3"/>
  <c r="O16" i="7"/>
  <c r="P16" i="7"/>
  <c r="F41" i="1"/>
  <c r="F38" i="1"/>
  <c r="M29" i="1"/>
  <c r="M28" i="1"/>
  <c r="G29" i="1"/>
  <c r="G28" i="1"/>
  <c r="P30" i="1"/>
  <c r="P28" i="1"/>
  <c r="D210" i="1"/>
  <c r="D11" i="7"/>
  <c r="G198" i="1"/>
  <c r="E17" i="2"/>
  <c r="E6" i="8"/>
  <c r="E18" i="2"/>
  <c r="N29" i="1"/>
  <c r="N28" i="1"/>
  <c r="N33" i="1"/>
  <c r="L41" i="1"/>
  <c r="L191" i="1"/>
  <c r="E9" i="7"/>
  <c r="D153" i="1"/>
  <c r="O14" i="7"/>
  <c r="P14" i="7"/>
  <c r="Q14" i="7"/>
  <c r="O15" i="7"/>
  <c r="P15" i="7"/>
  <c r="F210" i="1"/>
  <c r="E38" i="1"/>
  <c r="N39" i="1"/>
  <c r="P40" i="1"/>
  <c r="J41" i="1"/>
  <c r="P42" i="1"/>
  <c r="L29" i="1"/>
  <c r="L28" i="1"/>
  <c r="E29" i="1"/>
  <c r="I18" i="1"/>
  <c r="I103" i="1"/>
  <c r="L11" i="7"/>
  <c r="L28" i="2"/>
  <c r="H11" i="7"/>
  <c r="H28" i="2"/>
  <c r="M10" i="7"/>
  <c r="L10" i="7"/>
  <c r="I118" i="1"/>
  <c r="E18" i="1"/>
  <c r="E104" i="1"/>
  <c r="F33" i="1"/>
  <c r="F144" i="1"/>
  <c r="E145" i="1"/>
  <c r="E120" i="1"/>
  <c r="N40" i="1"/>
  <c r="N190" i="1"/>
  <c r="K42" i="1"/>
  <c r="K27" i="1" s="1"/>
  <c r="Q27" i="1" s="1"/>
  <c r="R27" i="1" s="1"/>
  <c r="E210" i="1"/>
  <c r="E102" i="1"/>
  <c r="G39" i="1"/>
  <c r="O40" i="1"/>
  <c r="N41" i="1"/>
  <c r="E33" i="1"/>
  <c r="C6" i="7"/>
  <c r="E139" i="1"/>
  <c r="E144" i="1"/>
  <c r="E124" i="1"/>
  <c r="E134" i="1"/>
  <c r="E119" i="1"/>
  <c r="K29" i="1"/>
  <c r="N30" i="1"/>
  <c r="E30" i="1"/>
  <c r="E11" i="7"/>
  <c r="E28" i="2"/>
  <c r="C28" i="2"/>
  <c r="E219" i="1"/>
  <c r="B17" i="8"/>
  <c r="B18" i="8"/>
  <c r="E132" i="1"/>
  <c r="H37" i="1"/>
  <c r="H8" i="1"/>
  <c r="H214" i="1"/>
  <c r="H210" i="1"/>
  <c r="H17" i="1"/>
  <c r="O8" i="8"/>
  <c r="F22" i="7"/>
  <c r="F25" i="2" s="1"/>
  <c r="F14" i="2" s="1"/>
  <c r="E22" i="7"/>
  <c r="E25" i="2" s="1"/>
  <c r="G22" i="7"/>
  <c r="G25" i="2" s="1"/>
  <c r="G14" i="2" s="1"/>
  <c r="M22" i="7"/>
  <c r="M25" i="2" s="1"/>
  <c r="M14" i="2" s="1"/>
  <c r="G87" i="1"/>
  <c r="G102" i="1"/>
  <c r="F42" i="1"/>
  <c r="F147" i="1"/>
  <c r="F142" i="1"/>
  <c r="I23" i="1"/>
  <c r="I138" i="1"/>
  <c r="I153" i="1"/>
  <c r="M222" i="1"/>
  <c r="I222" i="1"/>
  <c r="E6" i="7"/>
  <c r="D6" i="7"/>
  <c r="E27" i="1"/>
  <c r="N21" i="7"/>
  <c r="N16" i="2" s="1"/>
  <c r="E175" i="1"/>
  <c r="I175" i="1"/>
  <c r="I176" i="1"/>
  <c r="M176" i="1"/>
  <c r="O29" i="2"/>
  <c r="P29" i="2"/>
  <c r="I85" i="1"/>
  <c r="I100" i="1"/>
  <c r="H122" i="1"/>
  <c r="L6" i="7"/>
  <c r="K6" i="7"/>
  <c r="G12" i="7"/>
  <c r="G11" i="7"/>
  <c r="G28" i="2"/>
  <c r="C19" i="3"/>
  <c r="F22" i="1"/>
  <c r="F132" i="1"/>
  <c r="I38" i="1"/>
  <c r="G8" i="7"/>
  <c r="I33" i="1"/>
  <c r="I178" i="1"/>
  <c r="O153" i="1"/>
  <c r="M9" i="7"/>
  <c r="M193" i="1"/>
  <c r="I198" i="1"/>
  <c r="I193" i="1"/>
  <c r="M178" i="1"/>
  <c r="K9" i="2"/>
  <c r="D4" i="7"/>
  <c r="D19" i="2"/>
  <c r="P153" i="1"/>
  <c r="N9" i="7"/>
  <c r="L198" i="1"/>
  <c r="L193" i="1"/>
  <c r="F107" i="1"/>
  <c r="E11" i="8"/>
  <c r="E9" i="3"/>
  <c r="E143" i="1"/>
  <c r="Q144" i="1"/>
  <c r="T179" i="1"/>
  <c r="O85" i="1"/>
  <c r="O25" i="1"/>
  <c r="O38" i="1"/>
  <c r="N85" i="1"/>
  <c r="N100" i="1"/>
  <c r="N25" i="1"/>
  <c r="N185" i="1"/>
  <c r="D18" i="2"/>
  <c r="F108" i="1"/>
  <c r="D17" i="2"/>
  <c r="F58" i="1"/>
  <c r="F53" i="1"/>
  <c r="F148" i="1"/>
  <c r="F78" i="1"/>
  <c r="L11" i="8"/>
  <c r="L9" i="3"/>
  <c r="P25" i="1"/>
  <c r="P85" i="1"/>
  <c r="P38" i="1"/>
  <c r="G9" i="7"/>
  <c r="D5" i="2"/>
  <c r="I96" i="1"/>
  <c r="I161" i="1"/>
  <c r="E26" i="1"/>
  <c r="E86" i="1"/>
  <c r="Q41" i="1"/>
  <c r="R41" i="1"/>
  <c r="Q56" i="1"/>
  <c r="R56" i="1"/>
  <c r="R36" i="1"/>
  <c r="T76" i="1"/>
  <c r="T151" i="1"/>
  <c r="F99" i="1"/>
  <c r="F193" i="1"/>
  <c r="N132" i="1"/>
  <c r="N128" i="1"/>
  <c r="L8" i="2"/>
  <c r="D173" i="1"/>
  <c r="N18" i="2"/>
  <c r="N17" i="2"/>
  <c r="N6" i="8"/>
  <c r="P53" i="1"/>
  <c r="P193" i="1"/>
  <c r="M106" i="1"/>
  <c r="M18" i="1"/>
  <c r="M103" i="1"/>
  <c r="M218" i="1"/>
  <c r="M171" i="1"/>
  <c r="M168" i="1"/>
  <c r="M118" i="1"/>
  <c r="M131" i="1"/>
  <c r="M128" i="1"/>
  <c r="K8" i="2"/>
  <c r="L130" i="1"/>
  <c r="L128" i="1"/>
  <c r="J8" i="2"/>
  <c r="L217" i="1"/>
  <c r="L170" i="1"/>
  <c r="L168" i="1"/>
  <c r="L118" i="1"/>
  <c r="L178" i="1"/>
  <c r="J9" i="2"/>
  <c r="T80" i="1"/>
  <c r="N148" i="1"/>
  <c r="L7" i="2"/>
  <c r="L42" i="2"/>
  <c r="J188" i="1"/>
  <c r="J216" i="1"/>
  <c r="J129" i="1"/>
  <c r="J128" i="1"/>
  <c r="H8" i="2"/>
  <c r="J118" i="1"/>
  <c r="J169" i="1"/>
  <c r="J168" i="1"/>
  <c r="P78" i="1"/>
  <c r="E6" i="2"/>
  <c r="G58" i="1"/>
  <c r="G215" i="1"/>
  <c r="P178" i="1"/>
  <c r="N9" i="2"/>
  <c r="L89" i="1"/>
  <c r="L164" i="1"/>
  <c r="G4" i="7"/>
  <c r="G19" i="2"/>
  <c r="G4" i="8"/>
  <c r="E187" i="1"/>
  <c r="G3" i="7"/>
  <c r="G2" i="7"/>
  <c r="G24" i="2"/>
  <c r="G5" i="7"/>
  <c r="G5" i="8"/>
  <c r="F87" i="1"/>
  <c r="F27" i="1"/>
  <c r="F187" i="1"/>
  <c r="Q214" i="1"/>
  <c r="Q12" i="1" s="1"/>
  <c r="R12" i="1" s="1"/>
  <c r="E118" i="1"/>
  <c r="E164" i="1"/>
  <c r="E129" i="1"/>
  <c r="E216" i="1"/>
  <c r="Q119" i="1"/>
  <c r="E169" i="1"/>
  <c r="E138" i="1"/>
  <c r="T154" i="1"/>
  <c r="Q139" i="1"/>
  <c r="G38" i="1"/>
  <c r="G84" i="1"/>
  <c r="G24" i="1"/>
  <c r="E165" i="1"/>
  <c r="E130" i="1"/>
  <c r="E217" i="1"/>
  <c r="E170" i="1"/>
  <c r="P27" i="1"/>
  <c r="P187" i="1"/>
  <c r="P87" i="1"/>
  <c r="P102" i="1"/>
  <c r="N84" i="1"/>
  <c r="N24" i="1"/>
  <c r="N38" i="1"/>
  <c r="D28" i="2"/>
  <c r="D9" i="3"/>
  <c r="O11" i="7"/>
  <c r="P11" i="7"/>
  <c r="M6" i="8"/>
  <c r="I166" i="1"/>
  <c r="N87" i="1"/>
  <c r="N102" i="1"/>
  <c r="N27" i="1"/>
  <c r="N187" i="1"/>
  <c r="H86" i="1"/>
  <c r="H101" i="1"/>
  <c r="H91" i="1"/>
  <c r="H26" i="1"/>
  <c r="E171" i="1"/>
  <c r="E131" i="1"/>
  <c r="Q121" i="1"/>
  <c r="E218" i="1"/>
  <c r="Q191" i="1"/>
  <c r="R191" i="1"/>
  <c r="F18" i="1"/>
  <c r="F103" i="1"/>
  <c r="L14" i="8"/>
  <c r="N66" i="1"/>
  <c r="N67" i="1"/>
  <c r="N64" i="1"/>
  <c r="N65" i="1"/>
  <c r="N63" i="1"/>
  <c r="L34" i="3"/>
  <c r="L48" i="3"/>
  <c r="L39" i="3"/>
  <c r="L40" i="2"/>
  <c r="R15" i="1"/>
  <c r="P26" i="1"/>
  <c r="P86" i="1"/>
  <c r="P101" i="1"/>
  <c r="P91" i="1"/>
  <c r="P96" i="1"/>
  <c r="K17" i="2"/>
  <c r="K18" i="2"/>
  <c r="M53" i="1"/>
  <c r="L85" i="1"/>
  <c r="L25" i="1"/>
  <c r="L38" i="1"/>
  <c r="H130" i="1"/>
  <c r="H217" i="1"/>
  <c r="H170" i="1"/>
  <c r="H165" i="1"/>
  <c r="H118" i="1"/>
  <c r="H105" i="1"/>
  <c r="H95" i="1"/>
  <c r="J133" i="1"/>
  <c r="H17" i="2"/>
  <c r="H18" i="2"/>
  <c r="J53" i="1"/>
  <c r="J84" i="1"/>
  <c r="J24" i="1"/>
  <c r="J25" i="1"/>
  <c r="J23" i="1"/>
  <c r="J38" i="1"/>
  <c r="F11" i="8"/>
  <c r="F9" i="3"/>
  <c r="F95" i="1"/>
  <c r="F160" i="1"/>
  <c r="H99" i="1"/>
  <c r="E188" i="1"/>
  <c r="O128" i="1"/>
  <c r="M8" i="2"/>
  <c r="M167" i="1"/>
  <c r="I90" i="1"/>
  <c r="I165" i="1"/>
  <c r="G17" i="2"/>
  <c r="G18" i="2"/>
  <c r="I108" i="1"/>
  <c r="I148" i="1"/>
  <c r="I53" i="1"/>
  <c r="D20" i="3"/>
  <c r="C20" i="3"/>
  <c r="O19" i="3"/>
  <c r="P19" i="3"/>
  <c r="H219" i="1"/>
  <c r="H132" i="1"/>
  <c r="H172" i="1"/>
  <c r="H142" i="1"/>
  <c r="H32" i="1"/>
  <c r="H22" i="1"/>
  <c r="H192" i="1"/>
  <c r="H42" i="1"/>
  <c r="H127" i="1"/>
  <c r="H147" i="1"/>
  <c r="T57" i="1"/>
  <c r="H33" i="1"/>
  <c r="H137" i="1"/>
  <c r="C9" i="3"/>
  <c r="E133" i="1"/>
  <c r="E159" i="1"/>
  <c r="E184" i="1"/>
  <c r="Q134" i="1"/>
  <c r="C17" i="2"/>
  <c r="C18" i="2"/>
  <c r="E53" i="1"/>
  <c r="E108" i="1"/>
  <c r="K87" i="1"/>
  <c r="K102" i="1" s="1"/>
  <c r="T180" i="1"/>
  <c r="E103" i="1"/>
  <c r="E28" i="1"/>
  <c r="Q29" i="1"/>
  <c r="J86" i="1"/>
  <c r="J101" i="1"/>
  <c r="J26" i="1"/>
  <c r="J186" i="1"/>
  <c r="C19" i="2"/>
  <c r="C4" i="7"/>
  <c r="L86" i="1"/>
  <c r="L101" i="1"/>
  <c r="L26" i="1"/>
  <c r="L186" i="1"/>
  <c r="D53" i="1"/>
  <c r="F86" i="1"/>
  <c r="F101" i="1"/>
  <c r="F26" i="1"/>
  <c r="O27" i="1"/>
  <c r="O187" i="1"/>
  <c r="O87" i="1"/>
  <c r="O102" i="1"/>
  <c r="I83" i="1"/>
  <c r="I113" i="1"/>
  <c r="E100" i="1"/>
  <c r="J85" i="1"/>
  <c r="J17" i="2"/>
  <c r="J18" i="2"/>
  <c r="L53" i="1"/>
  <c r="L108" i="1"/>
  <c r="L9" i="7"/>
  <c r="N153" i="1"/>
  <c r="H131" i="1"/>
  <c r="H218" i="1"/>
  <c r="H166" i="1"/>
  <c r="H171" i="1"/>
  <c r="H186" i="1"/>
  <c r="H161" i="1"/>
  <c r="T156" i="1"/>
  <c r="Q141" i="1"/>
  <c r="Q21" i="1"/>
  <c r="E106" i="1"/>
  <c r="T181" i="1"/>
  <c r="Q146" i="1"/>
  <c r="P218" i="1"/>
  <c r="P171" i="1"/>
  <c r="P168" i="1"/>
  <c r="P131" i="1"/>
  <c r="P128" i="1"/>
  <c r="N8" i="2"/>
  <c r="P118" i="1"/>
  <c r="P186" i="1"/>
  <c r="P161" i="1"/>
  <c r="P133" i="1"/>
  <c r="M86" i="1"/>
  <c r="M26" i="1"/>
  <c r="M23" i="1"/>
  <c r="M38" i="1"/>
  <c r="L185" i="1"/>
  <c r="L133" i="1"/>
  <c r="T155" i="1"/>
  <c r="H138" i="1"/>
  <c r="H133" i="1"/>
  <c r="H160" i="1"/>
  <c r="H185" i="1"/>
  <c r="H9" i="2"/>
  <c r="J178" i="1"/>
  <c r="J104" i="1"/>
  <c r="J18" i="1"/>
  <c r="J103" i="1"/>
  <c r="Q19" i="1"/>
  <c r="J9" i="7"/>
  <c r="L153" i="1"/>
  <c r="N198" i="1"/>
  <c r="N193" i="1"/>
  <c r="P94" i="1"/>
  <c r="P159" i="1"/>
  <c r="G11" i="8"/>
  <c r="G9" i="3"/>
  <c r="G6" i="7"/>
  <c r="T182" i="1"/>
  <c r="G167" i="1"/>
  <c r="G92" i="1"/>
  <c r="Q17" i="1"/>
  <c r="R17" i="1" s="1"/>
  <c r="H13" i="1"/>
  <c r="Q11" i="7"/>
  <c r="E123" i="1"/>
  <c r="T79" i="1"/>
  <c r="N86" i="1"/>
  <c r="N101" i="1"/>
  <c r="N26" i="1"/>
  <c r="N186" i="1"/>
  <c r="E92" i="1"/>
  <c r="E167" i="1"/>
  <c r="F143" i="1"/>
  <c r="G6" i="2"/>
  <c r="I163" i="1"/>
  <c r="I215" i="1"/>
  <c r="I58" i="1"/>
  <c r="H11" i="8"/>
  <c r="H9" i="3"/>
  <c r="L17" i="2"/>
  <c r="L18" i="2"/>
  <c r="N108" i="1"/>
  <c r="N53" i="1"/>
  <c r="N58" i="1"/>
  <c r="J100" i="1"/>
  <c r="J185" i="1"/>
  <c r="I164" i="1"/>
  <c r="I98" i="1"/>
  <c r="I89" i="1"/>
  <c r="E185" i="1"/>
  <c r="F138" i="1"/>
  <c r="E83" i="1"/>
  <c r="N107" i="1"/>
  <c r="N18" i="1"/>
  <c r="N103" i="1"/>
  <c r="H28" i="1"/>
  <c r="H106" i="1"/>
  <c r="H96" i="1"/>
  <c r="Q31" i="1"/>
  <c r="R31" i="1"/>
  <c r="T81" i="1"/>
  <c r="Q126" i="1"/>
  <c r="Q136" i="1"/>
  <c r="L167" i="1"/>
  <c r="L92" i="1"/>
  <c r="P106" i="1"/>
  <c r="P18" i="1"/>
  <c r="P103" i="1"/>
  <c r="M133" i="1"/>
  <c r="M153" i="1"/>
  <c r="K9" i="7"/>
  <c r="L105" i="1"/>
  <c r="H143" i="1"/>
  <c r="R34" i="1"/>
  <c r="H9" i="7"/>
  <c r="J153" i="1"/>
  <c r="I183" i="1"/>
  <c r="O12" i="7"/>
  <c r="P12" i="7"/>
  <c r="E23" i="1"/>
  <c r="M14" i="8"/>
  <c r="O66" i="1"/>
  <c r="O67" i="1"/>
  <c r="O64" i="1"/>
  <c r="O65" i="1"/>
  <c r="O63" i="1"/>
  <c r="M39" i="3"/>
  <c r="M48" i="3"/>
  <c r="Q189" i="1"/>
  <c r="I78" i="1"/>
  <c r="N178" i="1"/>
  <c r="M162" i="1"/>
  <c r="H38" i="1"/>
  <c r="F4" i="7"/>
  <c r="F19" i="2"/>
  <c r="F4" i="8"/>
  <c r="F9" i="2"/>
  <c r="H178" i="1"/>
  <c r="R126" i="1"/>
  <c r="Q81" i="1"/>
  <c r="R81" i="1"/>
  <c r="N91" i="1"/>
  <c r="N166" i="1"/>
  <c r="F7" i="2"/>
  <c r="H148" i="1"/>
  <c r="R146" i="1"/>
  <c r="Q181" i="1"/>
  <c r="R181" i="1"/>
  <c r="J91" i="1"/>
  <c r="J166" i="1"/>
  <c r="E193" i="1"/>
  <c r="E198" i="1"/>
  <c r="H3" i="7"/>
  <c r="H5" i="7"/>
  <c r="H5" i="8"/>
  <c r="H8" i="7"/>
  <c r="H58" i="1"/>
  <c r="H215" i="1"/>
  <c r="F6" i="2"/>
  <c r="T61" i="1"/>
  <c r="N99" i="1"/>
  <c r="N83" i="1"/>
  <c r="N113" i="1"/>
  <c r="G83" i="1"/>
  <c r="G113" i="1"/>
  <c r="G99" i="1"/>
  <c r="D4" i="2"/>
  <c r="D37" i="2"/>
  <c r="D4" i="3"/>
  <c r="D27" i="2"/>
  <c r="D8" i="3"/>
  <c r="D36" i="2"/>
  <c r="D10" i="7"/>
  <c r="N4" i="7"/>
  <c r="N19" i="2"/>
  <c r="N4" i="8"/>
  <c r="F173" i="1"/>
  <c r="F220" i="1"/>
  <c r="O185" i="1"/>
  <c r="O23" i="1"/>
  <c r="G5" i="2"/>
  <c r="G42" i="2"/>
  <c r="K3" i="7"/>
  <c r="K2" i="7"/>
  <c r="K24" i="2"/>
  <c r="K5" i="7"/>
  <c r="K5" i="8"/>
  <c r="K8" i="7"/>
  <c r="R29" i="1"/>
  <c r="H107" i="1"/>
  <c r="H6" i="8"/>
  <c r="J4" i="7"/>
  <c r="J19" i="2"/>
  <c r="J4" i="8"/>
  <c r="J58" i="1"/>
  <c r="J215" i="1"/>
  <c r="F98" i="1"/>
  <c r="F163" i="1"/>
  <c r="F164" i="1"/>
  <c r="F89" i="1"/>
  <c r="N90" i="1"/>
  <c r="N165" i="1"/>
  <c r="T62" i="1"/>
  <c r="M186" i="1"/>
  <c r="J90" i="1"/>
  <c r="J165" i="1"/>
  <c r="I173" i="1"/>
  <c r="I220" i="1"/>
  <c r="D9" i="2"/>
  <c r="D42" i="2"/>
  <c r="F178" i="1"/>
  <c r="E97" i="1"/>
  <c r="E162" i="1"/>
  <c r="T132" i="1"/>
  <c r="T72" i="1"/>
  <c r="G97" i="1"/>
  <c r="G162" i="1"/>
  <c r="H153" i="1"/>
  <c r="F9" i="7"/>
  <c r="M101" i="1"/>
  <c r="M83" i="1"/>
  <c r="M113" i="1"/>
  <c r="P166" i="1"/>
  <c r="Q156" i="1"/>
  <c r="R156" i="1"/>
  <c r="R141" i="1"/>
  <c r="E90" i="1"/>
  <c r="E98" i="1"/>
  <c r="F91" i="1"/>
  <c r="F166" i="1"/>
  <c r="O28" i="2"/>
  <c r="P28" i="2"/>
  <c r="T82" i="1"/>
  <c r="T157" i="1"/>
  <c r="E20" i="3"/>
  <c r="H18" i="1"/>
  <c r="H168" i="1"/>
  <c r="L23" i="1"/>
  <c r="T131" i="1"/>
  <c r="T71" i="1"/>
  <c r="Q131" i="1"/>
  <c r="R131" i="1"/>
  <c r="L4" i="7"/>
  <c r="L19" i="2"/>
  <c r="L4" i="8"/>
  <c r="T130" i="1"/>
  <c r="T70" i="1"/>
  <c r="G23" i="1"/>
  <c r="G184" i="1"/>
  <c r="R139" i="1"/>
  <c r="T59" i="1"/>
  <c r="T164" i="1"/>
  <c r="F102" i="1"/>
  <c r="E5" i="2"/>
  <c r="E42" i="2"/>
  <c r="H123" i="1"/>
  <c r="H78" i="1"/>
  <c r="P108" i="1"/>
  <c r="F198" i="1"/>
  <c r="F83" i="1"/>
  <c r="F113" i="1"/>
  <c r="Q86" i="1"/>
  <c r="R86" i="1"/>
  <c r="E101" i="1"/>
  <c r="P185" i="1"/>
  <c r="P23" i="1"/>
  <c r="O11" i="8"/>
  <c r="C3" i="7"/>
  <c r="C5" i="7"/>
  <c r="C8" i="7"/>
  <c r="T75" i="1"/>
  <c r="T185" i="1"/>
  <c r="T150" i="1"/>
  <c r="I94" i="1"/>
  <c r="I159" i="1"/>
  <c r="I88" i="1"/>
  <c r="I158" i="1"/>
  <c r="K4" i="7"/>
  <c r="K19" i="2"/>
  <c r="K4" i="8"/>
  <c r="T108" i="1"/>
  <c r="R134" i="1"/>
  <c r="D51" i="3"/>
  <c r="D52" i="3"/>
  <c r="D54" i="3"/>
  <c r="J183" i="1"/>
  <c r="J148" i="1"/>
  <c r="H7" i="2"/>
  <c r="H128" i="1"/>
  <c r="F8" i="2"/>
  <c r="Q218" i="1"/>
  <c r="R218" i="1"/>
  <c r="R121" i="1"/>
  <c r="Q61" i="1"/>
  <c r="N92" i="1"/>
  <c r="N167" i="1"/>
  <c r="E153" i="1"/>
  <c r="T153" i="1"/>
  <c r="C9" i="7"/>
  <c r="C9" i="2"/>
  <c r="T178" i="1"/>
  <c r="E178" i="1"/>
  <c r="H188" i="1"/>
  <c r="R189" i="1"/>
  <c r="M183" i="1"/>
  <c r="K7" i="2"/>
  <c r="M148" i="1"/>
  <c r="L183" i="1"/>
  <c r="J7" i="2"/>
  <c r="L148" i="1"/>
  <c r="F186" i="1"/>
  <c r="F23" i="1"/>
  <c r="G6" i="8"/>
  <c r="H164" i="1"/>
  <c r="H89" i="1"/>
  <c r="J83" i="1"/>
  <c r="J113" i="1"/>
  <c r="J99" i="1"/>
  <c r="M108" i="1"/>
  <c r="P92" i="1"/>
  <c r="P167" i="1"/>
  <c r="Q42" i="1"/>
  <c r="R42" i="1" s="1"/>
  <c r="E19" i="2"/>
  <c r="E4" i="8"/>
  <c r="E4" i="7"/>
  <c r="H4" i="7"/>
  <c r="G108" i="1"/>
  <c r="E168" i="1"/>
  <c r="Q169" i="1"/>
  <c r="E128" i="1"/>
  <c r="T129" i="1"/>
  <c r="T69" i="1"/>
  <c r="G173" i="1"/>
  <c r="G220" i="1"/>
  <c r="J198" i="1"/>
  <c r="J193" i="1"/>
  <c r="M215" i="1"/>
  <c r="M58" i="1"/>
  <c r="K6" i="2"/>
  <c r="P198" i="1"/>
  <c r="D30" i="2"/>
  <c r="D24" i="8"/>
  <c r="D25" i="8"/>
  <c r="P100" i="1"/>
  <c r="P83" i="1"/>
  <c r="P113" i="1"/>
  <c r="O100" i="1"/>
  <c r="O83" i="1"/>
  <c r="O113" i="1"/>
  <c r="Q22" i="1"/>
  <c r="R22" i="1" s="1"/>
  <c r="M198" i="1"/>
  <c r="E113" i="1"/>
  <c r="L97" i="1"/>
  <c r="L162" i="1"/>
  <c r="Q151" i="1"/>
  <c r="R151" i="1"/>
  <c r="R136" i="1"/>
  <c r="F153" i="1"/>
  <c r="D9" i="7"/>
  <c r="N173" i="1"/>
  <c r="N220" i="1"/>
  <c r="L6" i="8"/>
  <c r="E78" i="1"/>
  <c r="P148" i="1"/>
  <c r="N7" i="2"/>
  <c r="P58" i="1"/>
  <c r="P215" i="1"/>
  <c r="N6" i="2"/>
  <c r="Q106" i="1"/>
  <c r="R106" i="1"/>
  <c r="R21" i="1"/>
  <c r="J6" i="8"/>
  <c r="O92" i="1"/>
  <c r="O167" i="1"/>
  <c r="L91" i="1"/>
  <c r="L166" i="1"/>
  <c r="T149" i="1"/>
  <c r="T184" i="1"/>
  <c r="T74" i="1"/>
  <c r="C7" i="2"/>
  <c r="E183" i="1"/>
  <c r="E148" i="1"/>
  <c r="O9" i="3"/>
  <c r="P9" i="3"/>
  <c r="H108" i="1"/>
  <c r="F6" i="7"/>
  <c r="H53" i="1"/>
  <c r="F17" i="2"/>
  <c r="F18" i="2"/>
  <c r="H27" i="1"/>
  <c r="H187" i="1"/>
  <c r="H87" i="1"/>
  <c r="C51" i="3"/>
  <c r="C52" i="3"/>
  <c r="C54" i="3"/>
  <c r="F20" i="3"/>
  <c r="I95" i="1"/>
  <c r="I160" i="1"/>
  <c r="H19" i="2"/>
  <c r="H4" i="8"/>
  <c r="J108" i="1"/>
  <c r="J184" i="1"/>
  <c r="L100" i="1"/>
  <c r="L83" i="1"/>
  <c r="L113" i="1"/>
  <c r="K6" i="8"/>
  <c r="Q171" i="1"/>
  <c r="R171" i="1"/>
  <c r="N23" i="1"/>
  <c r="N184" i="1"/>
  <c r="T60" i="1"/>
  <c r="T165" i="1"/>
  <c r="R119" i="1"/>
  <c r="Q59" i="1"/>
  <c r="R59" i="1" s="1"/>
  <c r="C6" i="2"/>
  <c r="E215" i="1"/>
  <c r="E163" i="1"/>
  <c r="E58" i="1"/>
  <c r="E173" i="1"/>
  <c r="R214" i="1"/>
  <c r="L159" i="1"/>
  <c r="L94" i="1"/>
  <c r="J6" i="2"/>
  <c r="L215" i="1"/>
  <c r="L58" i="1"/>
  <c r="T186" i="1"/>
  <c r="Q26" i="1"/>
  <c r="R26" i="1"/>
  <c r="E186" i="1"/>
  <c r="M19" i="2"/>
  <c r="M4" i="8"/>
  <c r="M4" i="7"/>
  <c r="O108" i="1"/>
  <c r="R144" i="1"/>
  <c r="T73" i="1"/>
  <c r="K42" i="2"/>
  <c r="K5" i="2"/>
  <c r="Q176" i="1"/>
  <c r="R176" i="1"/>
  <c r="R61" i="1"/>
  <c r="N3" i="7"/>
  <c r="N2" i="7"/>
  <c r="N24" i="2"/>
  <c r="N5" i="7"/>
  <c r="N5" i="8"/>
  <c r="N8" i="7"/>
  <c r="E54" i="3"/>
  <c r="E51" i="3"/>
  <c r="E52" i="3"/>
  <c r="N160" i="1"/>
  <c r="N95" i="1"/>
  <c r="D6" i="3"/>
  <c r="D5" i="3"/>
  <c r="D40" i="3"/>
  <c r="D37" i="3"/>
  <c r="D38" i="3"/>
  <c r="D34" i="3"/>
  <c r="D46" i="3"/>
  <c r="D47" i="3"/>
  <c r="H220" i="1"/>
  <c r="H173" i="1"/>
  <c r="L90" i="1"/>
  <c r="L165" i="1"/>
  <c r="L98" i="1"/>
  <c r="L163" i="1"/>
  <c r="J3" i="7"/>
  <c r="J5" i="7"/>
  <c r="J5" i="8"/>
  <c r="J8" i="7"/>
  <c r="M91" i="1"/>
  <c r="M98" i="1"/>
  <c r="M163" i="1"/>
  <c r="M166" i="1"/>
  <c r="H20" i="3"/>
  <c r="C5" i="2"/>
  <c r="C30" i="2"/>
  <c r="C42" i="2"/>
  <c r="F6" i="8"/>
  <c r="P220" i="1"/>
  <c r="P173" i="1"/>
  <c r="T78" i="1"/>
  <c r="Q186" i="1"/>
  <c r="R186" i="1"/>
  <c r="Q107" i="1"/>
  <c r="R107" i="1" s="1"/>
  <c r="O90" i="1"/>
  <c r="O165" i="1"/>
  <c r="O98" i="1"/>
  <c r="O163" i="1"/>
  <c r="R169" i="1"/>
  <c r="P97" i="1"/>
  <c r="P162" i="1"/>
  <c r="I93" i="1"/>
  <c r="C2" i="7"/>
  <c r="T166" i="1"/>
  <c r="E91" i="1"/>
  <c r="Q101" i="1"/>
  <c r="E166" i="1"/>
  <c r="E30" i="2"/>
  <c r="F92" i="1"/>
  <c r="F167" i="1"/>
  <c r="T187" i="1"/>
  <c r="T77" i="1"/>
  <c r="T152" i="1"/>
  <c r="F208" i="1"/>
  <c r="D13" i="2"/>
  <c r="D40" i="2"/>
  <c r="N98" i="1"/>
  <c r="N163" i="1"/>
  <c r="N164" i="1"/>
  <c r="N89" i="1"/>
  <c r="J96" i="1"/>
  <c r="J161" i="1"/>
  <c r="N96" i="1"/>
  <c r="N161" i="1"/>
  <c r="F54" i="3"/>
  <c r="F51" i="3"/>
  <c r="F52" i="3"/>
  <c r="P90" i="1"/>
  <c r="P165" i="1"/>
  <c r="P98" i="1"/>
  <c r="P163" i="1"/>
  <c r="E3" i="7"/>
  <c r="E2" i="7"/>
  <c r="E24" i="2"/>
  <c r="E5" i="7"/>
  <c r="E5" i="8"/>
  <c r="G183" i="1"/>
  <c r="E8" i="7"/>
  <c r="J95" i="1"/>
  <c r="J160" i="1"/>
  <c r="G27" i="2"/>
  <c r="G4" i="2"/>
  <c r="G37" i="2"/>
  <c r="G4" i="3"/>
  <c r="G36" i="2"/>
  <c r="G10" i="7"/>
  <c r="G7" i="7"/>
  <c r="G26" i="2"/>
  <c r="T193" i="1"/>
  <c r="L173" i="1"/>
  <c r="L220" i="1"/>
  <c r="L96" i="1"/>
  <c r="L161" i="1"/>
  <c r="P183" i="1"/>
  <c r="M173" i="1"/>
  <c r="M220" i="1"/>
  <c r="C8" i="2"/>
  <c r="T128" i="1"/>
  <c r="T68" i="1"/>
  <c r="J89" i="1"/>
  <c r="J98" i="1"/>
  <c r="J163" i="1"/>
  <c r="J164" i="1"/>
  <c r="H198" i="1"/>
  <c r="H193" i="1"/>
  <c r="H42" i="2"/>
  <c r="F42" i="2"/>
  <c r="F5" i="2"/>
  <c r="F30" i="2"/>
  <c r="J5" i="2"/>
  <c r="J42" i="2"/>
  <c r="L3" i="7"/>
  <c r="L2" i="7"/>
  <c r="L24" i="2"/>
  <c r="L5" i="7"/>
  <c r="L5" i="8"/>
  <c r="L8" i="7"/>
  <c r="L7" i="7"/>
  <c r="L26" i="2"/>
  <c r="N183" i="1"/>
  <c r="H102" i="1"/>
  <c r="H83" i="1"/>
  <c r="H113" i="1"/>
  <c r="O97" i="1"/>
  <c r="O162" i="1"/>
  <c r="N42" i="2"/>
  <c r="N5" i="2"/>
  <c r="T113" i="1"/>
  <c r="H23" i="1"/>
  <c r="H94" i="1"/>
  <c r="H159" i="1"/>
  <c r="G20" i="3"/>
  <c r="D5" i="7"/>
  <c r="D3" i="7"/>
  <c r="D2" i="7"/>
  <c r="D24" i="2"/>
  <c r="F183" i="1"/>
  <c r="D8" i="7"/>
  <c r="D7" i="7"/>
  <c r="D26" i="2"/>
  <c r="D7" i="3"/>
  <c r="N162" i="1"/>
  <c r="N97" i="1"/>
  <c r="E27" i="2"/>
  <c r="E4" i="2"/>
  <c r="E37" i="2"/>
  <c r="E36" i="2"/>
  <c r="E4" i="3"/>
  <c r="E10" i="7"/>
  <c r="H103" i="1"/>
  <c r="T198" i="1"/>
  <c r="F96" i="1"/>
  <c r="F161" i="1"/>
  <c r="E160" i="1"/>
  <c r="T160" i="1"/>
  <c r="E95" i="1"/>
  <c r="E88" i="1"/>
  <c r="F88" i="1"/>
  <c r="F158" i="1"/>
  <c r="F94" i="1"/>
  <c r="F159" i="1"/>
  <c r="J173" i="1"/>
  <c r="J220" i="1"/>
  <c r="M5" i="7"/>
  <c r="M5" i="8"/>
  <c r="M3" i="7"/>
  <c r="M8" i="7"/>
  <c r="M7" i="7"/>
  <c r="M26" i="2"/>
  <c r="O183" i="1"/>
  <c r="G98" i="1"/>
  <c r="G163" i="1"/>
  <c r="G89" i="1"/>
  <c r="G164" i="1"/>
  <c r="H2" i="7"/>
  <c r="H24" i="2"/>
  <c r="T159" i="1"/>
  <c r="E93" i="1"/>
  <c r="E13" i="2"/>
  <c r="G208" i="1"/>
  <c r="E40" i="2"/>
  <c r="H92" i="1"/>
  <c r="H167" i="1"/>
  <c r="H98" i="1"/>
  <c r="H163" i="1"/>
  <c r="H24" i="8"/>
  <c r="T167" i="1"/>
  <c r="H51" i="3"/>
  <c r="H52" i="3"/>
  <c r="H54" i="3"/>
  <c r="M88" i="1"/>
  <c r="M158" i="1"/>
  <c r="M161" i="1"/>
  <c r="M96" i="1"/>
  <c r="M93" i="1"/>
  <c r="M9" i="8"/>
  <c r="M7" i="3"/>
  <c r="M5" i="3"/>
  <c r="E46" i="3"/>
  <c r="E47" i="3"/>
  <c r="E6" i="3"/>
  <c r="E37" i="3"/>
  <c r="E38" i="3"/>
  <c r="E34" i="3"/>
  <c r="J4" i="2"/>
  <c r="J27" i="2"/>
  <c r="J36" i="2"/>
  <c r="J4" i="3"/>
  <c r="J37" i="2"/>
  <c r="J10" i="7"/>
  <c r="G13" i="2"/>
  <c r="I208" i="1"/>
  <c r="G40" i="2"/>
  <c r="J20" i="3"/>
  <c r="J2" i="7"/>
  <c r="J24" i="2"/>
  <c r="L160" i="1"/>
  <c r="L95" i="1"/>
  <c r="L93" i="1"/>
  <c r="L88" i="1"/>
  <c r="L158" i="1"/>
  <c r="M2" i="7"/>
  <c r="M24" i="2"/>
  <c r="G54" i="3"/>
  <c r="G51" i="3"/>
  <c r="G52" i="3"/>
  <c r="G30" i="2"/>
  <c r="F3" i="7"/>
  <c r="F8" i="7"/>
  <c r="F7" i="7"/>
  <c r="F26" i="2"/>
  <c r="F5" i="7"/>
  <c r="H183" i="1"/>
  <c r="N27" i="2"/>
  <c r="N4" i="2"/>
  <c r="N37" i="2"/>
  <c r="N36" i="2"/>
  <c r="N4" i="3"/>
  <c r="N10" i="7"/>
  <c r="L9" i="8"/>
  <c r="L7" i="3"/>
  <c r="L5" i="3"/>
  <c r="G10" i="8"/>
  <c r="G8" i="3"/>
  <c r="K20" i="3"/>
  <c r="R101" i="1"/>
  <c r="Q166" i="1"/>
  <c r="R166" i="1"/>
  <c r="C24" i="2"/>
  <c r="C24" i="8"/>
  <c r="C25" i="8"/>
  <c r="I20" i="3"/>
  <c r="L20" i="3"/>
  <c r="N7" i="7"/>
  <c r="N26" i="2"/>
  <c r="G88" i="1"/>
  <c r="G158" i="1"/>
  <c r="G94" i="1"/>
  <c r="G93" i="1"/>
  <c r="G159" i="1"/>
  <c r="F24" i="8"/>
  <c r="J88" i="1"/>
  <c r="J158" i="1"/>
  <c r="J159" i="1"/>
  <c r="J94" i="1"/>
  <c r="J93" i="1"/>
  <c r="E24" i="8"/>
  <c r="E10" i="8"/>
  <c r="E8" i="3"/>
  <c r="F27" i="2"/>
  <c r="F37" i="2"/>
  <c r="F10" i="7"/>
  <c r="F4" i="2"/>
  <c r="F36" i="2"/>
  <c r="F4" i="3"/>
  <c r="G9" i="8"/>
  <c r="G7" i="3"/>
  <c r="E7" i="7"/>
  <c r="E26" i="2"/>
  <c r="P160" i="1"/>
  <c r="P95" i="1"/>
  <c r="P93" i="1"/>
  <c r="P88" i="1"/>
  <c r="P158" i="1"/>
  <c r="K27" i="2"/>
  <c r="K4" i="2"/>
  <c r="K4" i="3"/>
  <c r="K36" i="2"/>
  <c r="K37" i="2"/>
  <c r="K10" i="7"/>
  <c r="K7" i="7"/>
  <c r="K26" i="2"/>
  <c r="E158" i="1"/>
  <c r="G46" i="3"/>
  <c r="G47" i="3"/>
  <c r="G37" i="3"/>
  <c r="G38" i="3"/>
  <c r="G34" i="3"/>
  <c r="G6" i="3"/>
  <c r="G5" i="3"/>
  <c r="G40" i="3"/>
  <c r="N159" i="1"/>
  <c r="N88" i="1"/>
  <c r="N158" i="1"/>
  <c r="N94" i="1"/>
  <c r="N93" i="1"/>
  <c r="F64" i="1"/>
  <c r="F65" i="1"/>
  <c r="F66" i="1"/>
  <c r="D14" i="8"/>
  <c r="F67" i="1"/>
  <c r="D39" i="3"/>
  <c r="D41" i="3"/>
  <c r="D48" i="3"/>
  <c r="F63" i="1"/>
  <c r="F162" i="1"/>
  <c r="F97" i="1"/>
  <c r="T162" i="1"/>
  <c r="T161" i="1"/>
  <c r="Q91" i="1"/>
  <c r="E161" i="1"/>
  <c r="E96" i="1"/>
  <c r="O95" i="1"/>
  <c r="O93" i="1"/>
  <c r="O160" i="1"/>
  <c r="O88" i="1"/>
  <c r="O158" i="1"/>
  <c r="C4" i="2"/>
  <c r="C36" i="2"/>
  <c r="C4" i="3"/>
  <c r="C27" i="2"/>
  <c r="C37" i="2"/>
  <c r="C10" i="7"/>
  <c r="J7" i="7"/>
  <c r="J26" i="2"/>
  <c r="L54" i="3"/>
  <c r="L30" i="2"/>
  <c r="L51" i="3"/>
  <c r="L52" i="3"/>
  <c r="C6" i="3"/>
  <c r="C46" i="3"/>
  <c r="C47" i="3"/>
  <c r="C37" i="3"/>
  <c r="C38" i="3"/>
  <c r="C34" i="3"/>
  <c r="R91" i="1"/>
  <c r="Q161" i="1"/>
  <c r="R161" i="1"/>
  <c r="K9" i="8"/>
  <c r="K7" i="3"/>
  <c r="N9" i="8"/>
  <c r="N7" i="3"/>
  <c r="K54" i="3"/>
  <c r="K51" i="3"/>
  <c r="K52" i="3"/>
  <c r="K30" i="2"/>
  <c r="N26" i="8"/>
  <c r="N13" i="2"/>
  <c r="P208" i="1"/>
  <c r="J54" i="3"/>
  <c r="J51" i="3"/>
  <c r="J52" i="3"/>
  <c r="J30" i="2"/>
  <c r="J9" i="8"/>
  <c r="J7" i="3"/>
  <c r="K10" i="8"/>
  <c r="K8" i="3"/>
  <c r="A25" i="8"/>
  <c r="C26" i="8"/>
  <c r="N37" i="3"/>
  <c r="N38" i="3"/>
  <c r="N46" i="3"/>
  <c r="N47" i="3"/>
  <c r="N6" i="3"/>
  <c r="N5" i="3"/>
  <c r="N40" i="3"/>
  <c r="N34" i="3"/>
  <c r="N10" i="8"/>
  <c r="N8" i="3"/>
  <c r="J10" i="8"/>
  <c r="J8" i="3"/>
  <c r="C13" i="2"/>
  <c r="E208" i="1"/>
  <c r="T208" i="1"/>
  <c r="C40" i="2"/>
  <c r="Q96" i="1"/>
  <c r="R96" i="1"/>
  <c r="H9" i="8"/>
  <c r="H26" i="8"/>
  <c r="H12" i="8"/>
  <c r="H25" i="8"/>
  <c r="J208" i="1"/>
  <c r="H40" i="2"/>
  <c r="H208" i="1"/>
  <c r="F13" i="2"/>
  <c r="F26" i="8"/>
  <c r="F12" i="8"/>
  <c r="F25" i="8"/>
  <c r="F40" i="2"/>
  <c r="L40" i="3"/>
  <c r="L41" i="3"/>
  <c r="F2" i="7"/>
  <c r="J26" i="8"/>
  <c r="J13" i="2"/>
  <c r="L208" i="1"/>
  <c r="K26" i="8"/>
  <c r="M208" i="1"/>
  <c r="K13" i="2"/>
  <c r="K40" i="2"/>
  <c r="F6" i="3"/>
  <c r="F34" i="3"/>
  <c r="F37" i="3"/>
  <c r="F38" i="3"/>
  <c r="F46" i="3"/>
  <c r="F47" i="3"/>
  <c r="F5" i="8"/>
  <c r="N20" i="3"/>
  <c r="F93" i="1"/>
  <c r="F10" i="8"/>
  <c r="F8" i="3"/>
  <c r="I54" i="3"/>
  <c r="I51" i="3"/>
  <c r="I52" i="3"/>
  <c r="O20" i="3"/>
  <c r="P20" i="3"/>
  <c r="F9" i="8"/>
  <c r="F7" i="3"/>
  <c r="F5" i="3"/>
  <c r="F40" i="3"/>
  <c r="M20" i="3"/>
  <c r="C7" i="7"/>
  <c r="C8" i="3"/>
  <c r="K46" i="3"/>
  <c r="K47" i="3"/>
  <c r="K6" i="3"/>
  <c r="K5" i="3"/>
  <c r="K40" i="3"/>
  <c r="K34" i="3"/>
  <c r="K37" i="3"/>
  <c r="K38" i="3"/>
  <c r="E9" i="8"/>
  <c r="E7" i="3"/>
  <c r="E5" i="3"/>
  <c r="E40" i="3"/>
  <c r="H37" i="3"/>
  <c r="H38" i="3"/>
  <c r="H46" i="3"/>
  <c r="H47" i="3"/>
  <c r="H40" i="3"/>
  <c r="H10" i="8"/>
  <c r="G24" i="8"/>
  <c r="I64" i="1"/>
  <c r="I65" i="1"/>
  <c r="I66" i="1"/>
  <c r="I67" i="1"/>
  <c r="G14" i="8"/>
  <c r="G48" i="3"/>
  <c r="I63" i="1"/>
  <c r="G39" i="3"/>
  <c r="G41" i="3"/>
  <c r="J46" i="3"/>
  <c r="J47" i="3"/>
  <c r="J6" i="3"/>
  <c r="J5" i="3"/>
  <c r="J40" i="3"/>
  <c r="J34" i="3"/>
  <c r="J37" i="3"/>
  <c r="J38" i="3"/>
  <c r="M40" i="3"/>
  <c r="M41" i="3"/>
  <c r="H97" i="1"/>
  <c r="H93" i="1"/>
  <c r="H162" i="1"/>
  <c r="H88" i="1"/>
  <c r="E14" i="8"/>
  <c r="G65" i="1"/>
  <c r="G66" i="1"/>
  <c r="G67" i="1"/>
  <c r="G64" i="1"/>
  <c r="G63" i="1"/>
  <c r="E39" i="3"/>
  <c r="E48" i="3"/>
  <c r="E41" i="3"/>
  <c r="H158" i="1"/>
  <c r="T158" i="1"/>
  <c r="N54" i="3"/>
  <c r="N51" i="3"/>
  <c r="N52" i="3"/>
  <c r="N30" i="2"/>
  <c r="H34" i="3"/>
  <c r="M54" i="3"/>
  <c r="M30" i="2"/>
  <c r="M51" i="3"/>
  <c r="M52" i="3"/>
  <c r="M64" i="1"/>
  <c r="M65" i="1"/>
  <c r="K14" i="8"/>
  <c r="M67" i="1"/>
  <c r="M66" i="1"/>
  <c r="K39" i="3"/>
  <c r="K41" i="3"/>
  <c r="K48" i="3"/>
  <c r="M63" i="1"/>
  <c r="L65" i="1"/>
  <c r="L64" i="1"/>
  <c r="L66" i="1"/>
  <c r="L67" i="1"/>
  <c r="J14" i="8"/>
  <c r="L63" i="1"/>
  <c r="J39" i="3"/>
  <c r="J41" i="3"/>
  <c r="J48" i="3"/>
  <c r="L26" i="8"/>
  <c r="M26" i="8"/>
  <c r="D26" i="8"/>
  <c r="E26" i="8"/>
  <c r="E12" i="8"/>
  <c r="G26" i="8"/>
  <c r="G12" i="8"/>
  <c r="G25" i="8"/>
  <c r="K24" i="8"/>
  <c r="K12" i="8"/>
  <c r="T163" i="1"/>
  <c r="T65" i="1"/>
  <c r="H14" i="8"/>
  <c r="J66" i="1"/>
  <c r="J67" i="1"/>
  <c r="J64" i="1"/>
  <c r="J65" i="1"/>
  <c r="H39" i="3"/>
  <c r="H41" i="3"/>
  <c r="J63" i="1"/>
  <c r="H48" i="3"/>
  <c r="L12" i="8"/>
  <c r="L25" i="8"/>
  <c r="L24" i="8"/>
  <c r="C26" i="2"/>
  <c r="J40" i="2"/>
  <c r="F24" i="2"/>
  <c r="H67" i="1"/>
  <c r="H65" i="1"/>
  <c r="H64" i="1"/>
  <c r="F14" i="8"/>
  <c r="H66" i="1"/>
  <c r="F48" i="3"/>
  <c r="H63" i="1"/>
  <c r="F39" i="3"/>
  <c r="F41" i="3"/>
  <c r="C14" i="8"/>
  <c r="E63" i="1"/>
  <c r="E65" i="1"/>
  <c r="E67" i="1"/>
  <c r="E64" i="1"/>
  <c r="E66" i="1"/>
  <c r="C48" i="3"/>
  <c r="C39" i="3"/>
  <c r="J12" i="8"/>
  <c r="J25" i="8"/>
  <c r="J24" i="8"/>
  <c r="P65" i="1"/>
  <c r="P66" i="1"/>
  <c r="P67" i="1"/>
  <c r="N14" i="8"/>
  <c r="P64" i="1"/>
  <c r="P63" i="1"/>
  <c r="N48" i="3"/>
  <c r="N39" i="3"/>
  <c r="N41" i="3"/>
  <c r="E25" i="8"/>
  <c r="M12" i="8"/>
  <c r="M25" i="8"/>
  <c r="M24" i="8"/>
  <c r="T66" i="1"/>
  <c r="T67" i="1"/>
  <c r="T63" i="1"/>
  <c r="K25" i="8"/>
  <c r="N12" i="8"/>
  <c r="N24" i="8"/>
  <c r="C7" i="3"/>
  <c r="T64" i="1"/>
  <c r="N25" i="8"/>
  <c r="C5" i="3"/>
  <c r="C40" i="3"/>
  <c r="C41" i="3"/>
  <c r="K92" i="1" l="1"/>
  <c r="K167" i="1"/>
  <c r="Q102" i="1"/>
  <c r="R102" i="1" s="1"/>
  <c r="K187" i="1"/>
  <c r="R142" i="1"/>
  <c r="Q157" i="1"/>
  <c r="R157" i="1" s="1"/>
  <c r="K172" i="1"/>
  <c r="Q172" i="1" s="1"/>
  <c r="R172" i="1" s="1"/>
  <c r="N17" i="8"/>
  <c r="L21" i="7"/>
  <c r="L17" i="8" s="1"/>
  <c r="D22" i="7"/>
  <c r="D25" i="2" s="1"/>
  <c r="D14" i="2" s="1"/>
  <c r="L22" i="7"/>
  <c r="L25" i="2" s="1"/>
  <c r="L14" i="2" s="1"/>
  <c r="H22" i="7"/>
  <c r="H25" i="2" s="1"/>
  <c r="H14" i="2" s="1"/>
  <c r="I22" i="7"/>
  <c r="I25" i="2" s="1"/>
  <c r="K22" i="7"/>
  <c r="K25" i="2" s="1"/>
  <c r="K14" i="2" s="1"/>
  <c r="N22" i="7"/>
  <c r="K21" i="7"/>
  <c r="K17" i="8" s="1"/>
  <c r="K219" i="1"/>
  <c r="Q87" i="1"/>
  <c r="R87" i="1" s="1"/>
  <c r="Q122" i="1"/>
  <c r="I21" i="7"/>
  <c r="Q37" i="1"/>
  <c r="J22" i="7"/>
  <c r="J25" i="2" s="1"/>
  <c r="J14" i="2" s="1"/>
  <c r="M21" i="7"/>
  <c r="M16" i="2" s="1"/>
  <c r="K192" i="1"/>
  <c r="Q192" i="1" s="1"/>
  <c r="R192" i="1" s="1"/>
  <c r="K127" i="1"/>
  <c r="Q127" i="1" s="1"/>
  <c r="K162" i="1"/>
  <c r="Q137" i="1"/>
  <c r="C22" i="7"/>
  <c r="C25" i="2" s="1"/>
  <c r="O25" i="2" s="1"/>
  <c r="P25" i="2" s="1"/>
  <c r="J21" i="7"/>
  <c r="J16" i="2" s="1"/>
  <c r="K147" i="1"/>
  <c r="Q147" i="1" s="1"/>
  <c r="R30" i="1"/>
  <c r="Q28" i="1"/>
  <c r="R28" i="1" s="1"/>
  <c r="C14" i="2"/>
  <c r="R125" i="1"/>
  <c r="Q80" i="1"/>
  <c r="R80" i="1" s="1"/>
  <c r="Q55" i="1"/>
  <c r="R55" i="1" s="1"/>
  <c r="K28" i="1"/>
  <c r="E21" i="7"/>
  <c r="E16" i="2" s="1"/>
  <c r="K40" i="1"/>
  <c r="K33" i="1"/>
  <c r="K145" i="1"/>
  <c r="K120" i="1"/>
  <c r="K190" i="1"/>
  <c r="Q190" i="1" s="1"/>
  <c r="R190" i="1" s="1"/>
  <c r="Q188" i="1"/>
  <c r="R188" i="1" s="1"/>
  <c r="K135" i="1"/>
  <c r="K140" i="1"/>
  <c r="K20" i="1"/>
  <c r="Q129" i="1"/>
  <c r="K99" i="1"/>
  <c r="Q84" i="1"/>
  <c r="K13" i="1"/>
  <c r="Q14" i="1"/>
  <c r="H16" i="2"/>
  <c r="H17" i="8"/>
  <c r="Q174" i="1"/>
  <c r="R174" i="1" s="1"/>
  <c r="J17" i="8"/>
  <c r="N25" i="2"/>
  <c r="N14" i="2" s="1"/>
  <c r="Q211" i="1"/>
  <c r="Q33" i="1"/>
  <c r="Q149" i="1"/>
  <c r="R149" i="1" s="1"/>
  <c r="Q179" i="1"/>
  <c r="R179" i="1" s="1"/>
  <c r="Q54" i="1"/>
  <c r="R54" i="1" s="1"/>
  <c r="Q154" i="1"/>
  <c r="R154" i="1" s="1"/>
  <c r="K164" i="1"/>
  <c r="R19" i="1"/>
  <c r="Q104" i="1"/>
  <c r="R104" i="1" s="1"/>
  <c r="E14" i="2"/>
  <c r="I6" i="7"/>
  <c r="O6" i="7" s="1"/>
  <c r="P6" i="7" s="1"/>
  <c r="K123" i="1"/>
  <c r="Q124" i="1"/>
  <c r="K24" i="1"/>
  <c r="Q39" i="1"/>
  <c r="K38" i="1"/>
  <c r="N15" i="2"/>
  <c r="N2" i="8" s="1"/>
  <c r="D21" i="7"/>
  <c r="D16" i="2" s="1"/>
  <c r="M15" i="2"/>
  <c r="M2" i="8" s="1"/>
  <c r="G21" i="7"/>
  <c r="C21" i="7"/>
  <c r="F21" i="7"/>
  <c r="F16" i="2" s="1"/>
  <c r="F15" i="2" s="1"/>
  <c r="F2" i="8" s="1"/>
  <c r="D17" i="8"/>
  <c r="D19" i="8" s="1"/>
  <c r="D20" i="8" s="1"/>
  <c r="M17" i="8"/>
  <c r="E17" i="8"/>
  <c r="K16" i="2" l="1"/>
  <c r="J15" i="2"/>
  <c r="J2" i="8" s="1"/>
  <c r="K108" i="1"/>
  <c r="Q182" i="1"/>
  <c r="R182" i="1" s="1"/>
  <c r="R147" i="1"/>
  <c r="R127" i="1"/>
  <c r="Q82" i="1"/>
  <c r="R82" i="1" s="1"/>
  <c r="Q57" i="1"/>
  <c r="R57" i="1" s="1"/>
  <c r="R37" i="1"/>
  <c r="L16" i="2"/>
  <c r="L15" i="2" s="1"/>
  <c r="L2" i="8" s="1"/>
  <c r="D15" i="2"/>
  <c r="K53" i="1"/>
  <c r="I17" i="8"/>
  <c r="I16" i="2"/>
  <c r="F17" i="8"/>
  <c r="I17" i="2"/>
  <c r="H15" i="2"/>
  <c r="H2" i="8" s="1"/>
  <c r="K188" i="1"/>
  <c r="K198" i="1" s="1"/>
  <c r="Q187" i="1"/>
  <c r="R187" i="1" s="1"/>
  <c r="R137" i="1"/>
  <c r="Q152" i="1"/>
  <c r="R152" i="1" s="1"/>
  <c r="Q162" i="1"/>
  <c r="R162" i="1" s="1"/>
  <c r="R122" i="1"/>
  <c r="Q62" i="1"/>
  <c r="Q167" i="1"/>
  <c r="R167" i="1" s="1"/>
  <c r="Q219" i="1"/>
  <c r="R219" i="1" s="1"/>
  <c r="K132" i="1"/>
  <c r="Q132" i="1" s="1"/>
  <c r="R132" i="1" s="1"/>
  <c r="K15" i="2"/>
  <c r="K2" i="8" s="1"/>
  <c r="I18" i="2"/>
  <c r="O18" i="2" s="1"/>
  <c r="P18" i="2" s="1"/>
  <c r="Q25" i="2"/>
  <c r="O22" i="7"/>
  <c r="P22" i="7" s="1"/>
  <c r="K97" i="1"/>
  <c r="Q97" i="1" s="1"/>
  <c r="R97" i="1" s="1"/>
  <c r="Q92" i="1"/>
  <c r="R92" i="1" s="1"/>
  <c r="K78" i="1"/>
  <c r="K105" i="1"/>
  <c r="K18" i="1"/>
  <c r="K103" i="1" s="1"/>
  <c r="Q20" i="1"/>
  <c r="K25" i="1"/>
  <c r="Q25" i="1" s="1"/>
  <c r="R25" i="1" s="1"/>
  <c r="K85" i="1"/>
  <c r="Q40" i="1"/>
  <c r="R40" i="1" s="1"/>
  <c r="K138" i="1"/>
  <c r="Q140" i="1"/>
  <c r="K130" i="1"/>
  <c r="K217" i="1"/>
  <c r="K170" i="1"/>
  <c r="K118" i="1"/>
  <c r="Q120" i="1"/>
  <c r="Q135" i="1"/>
  <c r="K185" i="1"/>
  <c r="K133" i="1"/>
  <c r="Q145" i="1"/>
  <c r="K143" i="1"/>
  <c r="K193" i="1"/>
  <c r="R39" i="1"/>
  <c r="R124" i="1"/>
  <c r="Q79" i="1"/>
  <c r="R79" i="1" s="1"/>
  <c r="Q123" i="1"/>
  <c r="Q24" i="1"/>
  <c r="K184" i="1"/>
  <c r="K23" i="1"/>
  <c r="C16" i="2"/>
  <c r="C15" i="2" s="1"/>
  <c r="C17" i="8"/>
  <c r="C19" i="8" s="1"/>
  <c r="Q14" i="2"/>
  <c r="R33" i="1"/>
  <c r="R14" i="1"/>
  <c r="Q13" i="1"/>
  <c r="R13" i="1" s="1"/>
  <c r="K89" i="1"/>
  <c r="Q99" i="1"/>
  <c r="O21" i="7"/>
  <c r="P21" i="7" s="1"/>
  <c r="G16" i="2"/>
  <c r="G15" i="2" s="1"/>
  <c r="G2" i="8" s="1"/>
  <c r="G17" i="8"/>
  <c r="I19" i="2"/>
  <c r="I4" i="7"/>
  <c r="O4" i="7" s="1"/>
  <c r="P4" i="7" s="1"/>
  <c r="O17" i="2"/>
  <c r="P17" i="2" s="1"/>
  <c r="I6" i="8"/>
  <c r="O6" i="8" s="1"/>
  <c r="R211" i="1"/>
  <c r="Q210" i="1"/>
  <c r="Q53" i="1" s="1"/>
  <c r="R53" i="1" s="1"/>
  <c r="Q9" i="1"/>
  <c r="R129" i="1"/>
  <c r="R84" i="1"/>
  <c r="Q193" i="1"/>
  <c r="R193" i="1" s="1"/>
  <c r="E15" i="2"/>
  <c r="Q177" i="1" l="1"/>
  <c r="R177" i="1" s="1"/>
  <c r="R62" i="1"/>
  <c r="I7" i="2"/>
  <c r="O7" i="2" s="1"/>
  <c r="P7" i="2" s="1"/>
  <c r="K148" i="1"/>
  <c r="Q118" i="1"/>
  <c r="R120" i="1"/>
  <c r="Q60" i="1"/>
  <c r="Q217" i="1"/>
  <c r="R217" i="1" s="1"/>
  <c r="O16" i="2"/>
  <c r="P16" i="2" s="1"/>
  <c r="Q130" i="1"/>
  <c r="K128" i="1"/>
  <c r="I8" i="2" s="1"/>
  <c r="O8" i="2" s="1"/>
  <c r="P8" i="2" s="1"/>
  <c r="K100" i="1"/>
  <c r="Q85" i="1"/>
  <c r="K83" i="1"/>
  <c r="K113" i="1" s="1"/>
  <c r="Q38" i="1"/>
  <c r="R38" i="1" s="1"/>
  <c r="I9" i="2"/>
  <c r="O9" i="2" s="1"/>
  <c r="P9" i="2" s="1"/>
  <c r="K178" i="1"/>
  <c r="K215" i="1"/>
  <c r="I6" i="2"/>
  <c r="K58" i="1"/>
  <c r="Q138" i="1"/>
  <c r="R140" i="1"/>
  <c r="Q155" i="1"/>
  <c r="R155" i="1" s="1"/>
  <c r="Q16" i="2"/>
  <c r="Q180" i="1"/>
  <c r="R180" i="1" s="1"/>
  <c r="Q143" i="1"/>
  <c r="R145" i="1"/>
  <c r="Q150" i="1"/>
  <c r="R150" i="1" s="1"/>
  <c r="Q133" i="1"/>
  <c r="R135" i="1"/>
  <c r="Q185" i="1"/>
  <c r="R185" i="1" s="1"/>
  <c r="Q170" i="1"/>
  <c r="K168" i="1"/>
  <c r="K153" i="1"/>
  <c r="I9" i="7"/>
  <c r="O9" i="7" s="1"/>
  <c r="P9" i="7" s="1"/>
  <c r="R20" i="1"/>
  <c r="Q105" i="1"/>
  <c r="R105" i="1" s="1"/>
  <c r="Q18" i="1"/>
  <c r="I4" i="8"/>
  <c r="O4" i="8" s="1"/>
  <c r="O19" i="2"/>
  <c r="P19" i="2" s="1"/>
  <c r="Q216" i="1"/>
  <c r="R216" i="1" s="1"/>
  <c r="R9" i="1"/>
  <c r="R99" i="1"/>
  <c r="Q164" i="1"/>
  <c r="R164" i="1" s="1"/>
  <c r="C20" i="8"/>
  <c r="C21" i="8"/>
  <c r="Q23" i="1"/>
  <c r="R24" i="1"/>
  <c r="Q184" i="1"/>
  <c r="R184" i="1" s="1"/>
  <c r="Q8" i="1"/>
  <c r="R210" i="1"/>
  <c r="K159" i="1"/>
  <c r="K94" i="1"/>
  <c r="Q89" i="1"/>
  <c r="Q78" i="1"/>
  <c r="R78" i="1" s="1"/>
  <c r="R123" i="1"/>
  <c r="I5" i="7"/>
  <c r="K183" i="1"/>
  <c r="I8" i="7"/>
  <c r="I3" i="7"/>
  <c r="E2" i="8"/>
  <c r="Q15" i="2"/>
  <c r="Q168" i="1" l="1"/>
  <c r="R168" i="1" s="1"/>
  <c r="R170" i="1"/>
  <c r="R133" i="1"/>
  <c r="Q148" i="1"/>
  <c r="R148" i="1" s="1"/>
  <c r="R138" i="1"/>
  <c r="Q153" i="1"/>
  <c r="R153" i="1" s="1"/>
  <c r="R85" i="1"/>
  <c r="Q83" i="1"/>
  <c r="Q108" i="1"/>
  <c r="R108" i="1" s="1"/>
  <c r="K173" i="1"/>
  <c r="K220" i="1"/>
  <c r="Q100" i="1"/>
  <c r="K90" i="1"/>
  <c r="K98" i="1"/>
  <c r="K163" i="1" s="1"/>
  <c r="K165" i="1"/>
  <c r="R118" i="1"/>
  <c r="Q58" i="1"/>
  <c r="Q198" i="1"/>
  <c r="R198" i="1" s="1"/>
  <c r="R18" i="1"/>
  <c r="Q103" i="1"/>
  <c r="R103" i="1" s="1"/>
  <c r="I42" i="2"/>
  <c r="I30" i="2"/>
  <c r="O6" i="2"/>
  <c r="I5" i="2"/>
  <c r="R143" i="1"/>
  <c r="Q178" i="1"/>
  <c r="R178" i="1" s="1"/>
  <c r="R130" i="1"/>
  <c r="Q128" i="1"/>
  <c r="R128" i="1" s="1"/>
  <c r="R60" i="1"/>
  <c r="Q175" i="1"/>
  <c r="R175" i="1" s="1"/>
  <c r="Q183" i="1"/>
  <c r="R183" i="1" s="1"/>
  <c r="R23" i="1"/>
  <c r="O5" i="7"/>
  <c r="P5" i="7" s="1"/>
  <c r="I5" i="8"/>
  <c r="O5" i="8" s="1"/>
  <c r="R89" i="1"/>
  <c r="Q159" i="1"/>
  <c r="R159" i="1" s="1"/>
  <c r="M18" i="8"/>
  <c r="M3" i="8" s="1"/>
  <c r="F18" i="8"/>
  <c r="F3" i="8" s="1"/>
  <c r="L18" i="8"/>
  <c r="L3" i="8" s="1"/>
  <c r="K18" i="8"/>
  <c r="K3" i="8" s="1"/>
  <c r="I18" i="8"/>
  <c r="I3" i="8" s="1"/>
  <c r="I19" i="8" s="1"/>
  <c r="E18" i="8"/>
  <c r="E3" i="8" s="1"/>
  <c r="E7" i="8" s="1"/>
  <c r="J18" i="8"/>
  <c r="J3" i="8" s="1"/>
  <c r="G18" i="8"/>
  <c r="G3" i="8" s="1"/>
  <c r="N18" i="8"/>
  <c r="N3" i="8" s="1"/>
  <c r="H18" i="8"/>
  <c r="H3" i="8" s="1"/>
  <c r="I2" i="7"/>
  <c r="O3" i="7"/>
  <c r="P3" i="7" s="1"/>
  <c r="Q94" i="1"/>
  <c r="O8" i="7"/>
  <c r="P8" i="7" s="1"/>
  <c r="Q215" i="1"/>
  <c r="R215" i="1" s="1"/>
  <c r="R8" i="1"/>
  <c r="I4" i="2" l="1"/>
  <c r="I37" i="2"/>
  <c r="O37" i="2" s="1"/>
  <c r="P37" i="2" s="1"/>
  <c r="O5" i="2"/>
  <c r="P5" i="2" s="1"/>
  <c r="I36" i="2"/>
  <c r="O36" i="2" s="1"/>
  <c r="P36" i="2" s="1"/>
  <c r="I10" i="7"/>
  <c r="I27" i="2"/>
  <c r="I4" i="3"/>
  <c r="R100" i="1"/>
  <c r="Q165" i="1"/>
  <c r="R165" i="1" s="1"/>
  <c r="Q98" i="1"/>
  <c r="Q113" i="1"/>
  <c r="R113" i="1" s="1"/>
  <c r="R83" i="1"/>
  <c r="P6" i="2"/>
  <c r="O42" i="2"/>
  <c r="I24" i="8"/>
  <c r="O30" i="2"/>
  <c r="P30" i="2" s="1"/>
  <c r="R58" i="1"/>
  <c r="Q173" i="1"/>
  <c r="R173" i="1" s="1"/>
  <c r="Q90" i="1"/>
  <c r="K160" i="1"/>
  <c r="K95" i="1"/>
  <c r="K88" i="1"/>
  <c r="K158" i="1" s="1"/>
  <c r="N19" i="8"/>
  <c r="N7" i="8"/>
  <c r="M19" i="8"/>
  <c r="M7" i="8"/>
  <c r="I24" i="2"/>
  <c r="O24" i="2" s="1"/>
  <c r="P24" i="2" s="1"/>
  <c r="O2" i="7"/>
  <c r="P2" i="7" s="1"/>
  <c r="G19" i="8"/>
  <c r="G7" i="8"/>
  <c r="K19" i="8"/>
  <c r="K7" i="8"/>
  <c r="R94" i="1"/>
  <c r="J7" i="8"/>
  <c r="J19" i="8"/>
  <c r="L19" i="8"/>
  <c r="L7" i="8"/>
  <c r="H7" i="8"/>
  <c r="H19" i="8"/>
  <c r="O3" i="8"/>
  <c r="E19" i="8"/>
  <c r="F7" i="8"/>
  <c r="F19" i="8"/>
  <c r="Q163" i="1" l="1"/>
  <c r="R163" i="1" s="1"/>
  <c r="R98" i="1"/>
  <c r="O27" i="2"/>
  <c r="P27" i="2" s="1"/>
  <c r="I10" i="8"/>
  <c r="O10" i="8" s="1"/>
  <c r="I8" i="3"/>
  <c r="O8" i="3" s="1"/>
  <c r="P8" i="3" s="1"/>
  <c r="Q95" i="1"/>
  <c r="K93" i="1"/>
  <c r="O10" i="7"/>
  <c r="P10" i="7" s="1"/>
  <c r="I7" i="7"/>
  <c r="I13" i="2"/>
  <c r="I40" i="2" s="1"/>
  <c r="K208" i="1"/>
  <c r="O4" i="2"/>
  <c r="I26" i="8"/>
  <c r="I12" i="8" s="1"/>
  <c r="R90" i="1"/>
  <c r="Q160" i="1"/>
  <c r="R160" i="1" s="1"/>
  <c r="Q88" i="1"/>
  <c r="I37" i="3"/>
  <c r="I38" i="3" s="1"/>
  <c r="I6" i="3"/>
  <c r="O6" i="3" s="1"/>
  <c r="P6" i="3" s="1"/>
  <c r="O4" i="3"/>
  <c r="P4" i="3" s="1"/>
  <c r="I46" i="3"/>
  <c r="I47" i="3" s="1"/>
  <c r="I34" i="3" l="1"/>
  <c r="R88" i="1"/>
  <c r="Q158" i="1"/>
  <c r="R158" i="1" s="1"/>
  <c r="I25" i="8"/>
  <c r="O12" i="8"/>
  <c r="K67" i="1"/>
  <c r="K63" i="1"/>
  <c r="I14" i="8"/>
  <c r="O14" i="8" s="1"/>
  <c r="K65" i="1"/>
  <c r="I39" i="3"/>
  <c r="K66" i="1"/>
  <c r="K64" i="1"/>
  <c r="O13" i="2"/>
  <c r="I48" i="3"/>
  <c r="R95" i="1"/>
  <c r="Q93" i="1"/>
  <c r="R93" i="1" s="1"/>
  <c r="Q208" i="1"/>
  <c r="R208" i="1" s="1"/>
  <c r="P4" i="2"/>
  <c r="I26" i="2"/>
  <c r="O7" i="7"/>
  <c r="P7" i="7" s="1"/>
  <c r="I9" i="8" l="1"/>
  <c r="O9" i="8" s="1"/>
  <c r="I7" i="3"/>
  <c r="O26" i="2"/>
  <c r="P26" i="2" s="1"/>
  <c r="I14" i="2"/>
  <c r="P13" i="2"/>
  <c r="Q66" i="1"/>
  <c r="R66" i="1" s="1"/>
  <c r="Q63" i="1"/>
  <c r="D63" i="1"/>
  <c r="O39" i="3"/>
  <c r="Q67" i="1"/>
  <c r="R67" i="1" s="1"/>
  <c r="Q64" i="1"/>
  <c r="R64" i="1" s="1"/>
  <c r="Q65" i="1"/>
  <c r="R65" i="1" s="1"/>
  <c r="O7" i="3" l="1"/>
  <c r="P7" i="3" s="1"/>
  <c r="I5" i="3"/>
  <c r="R63" i="1"/>
  <c r="I15" i="2"/>
  <c r="O14" i="2"/>
  <c r="P14" i="2" s="1"/>
  <c r="I40" i="3" l="1"/>
  <c r="I41" i="3" s="1"/>
  <c r="O5" i="3"/>
  <c r="P5" i="3" s="1"/>
  <c r="O15" i="2"/>
  <c r="P15" i="2" s="1"/>
  <c r="I2" i="8"/>
  <c r="O2" i="8" l="1"/>
  <c r="I7" i="8"/>
  <c r="O7" i="8" s="1"/>
</calcChain>
</file>

<file path=xl/comments1.xml><?xml version="1.0" encoding="utf-8"?>
<comments xmlns="http://schemas.openxmlformats.org/spreadsheetml/2006/main">
  <authors>
    <author>Lenovo User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16</t>
        </r>
        <r>
          <rPr>
            <sz val="9"/>
            <color indexed="81"/>
            <rFont val="宋体"/>
            <family val="3"/>
            <charset val="134"/>
          </rPr>
          <t>号执飞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21zhifei
</t>
        </r>
      </text>
    </comment>
  </commentList>
</comments>
</file>

<file path=xl/comments2.xml><?xml version="1.0" encoding="utf-8"?>
<comments xmlns="http://schemas.openxmlformats.org/spreadsheetml/2006/main">
  <authors>
    <author>陈立鹏</author>
  </authors>
  <commentLis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陈立鹏: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Lenovo User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按照平均在册计算</t>
        </r>
      </text>
    </comment>
  </commentList>
</comments>
</file>

<file path=xl/sharedStrings.xml><?xml version="1.0" encoding="utf-8"?>
<sst xmlns="http://schemas.openxmlformats.org/spreadsheetml/2006/main" count="565" uniqueCount="260">
  <si>
    <r>
      <rPr>
        <b/>
        <sz val="10"/>
        <color indexed="9"/>
        <rFont val="宋体"/>
        <family val="3"/>
        <charset val="134"/>
      </rPr>
      <t xml:space="preserve">序号
</t>
    </r>
    <r>
      <rPr>
        <b/>
        <sz val="10"/>
        <color indexed="9"/>
        <rFont val="Book Antiqua"/>
        <family val="1"/>
      </rPr>
      <t>No.</t>
    </r>
  </si>
  <si>
    <r>
      <rPr>
        <b/>
        <sz val="10"/>
        <color indexed="9"/>
        <rFont val="宋体"/>
        <family val="3"/>
        <charset val="134"/>
      </rPr>
      <t xml:space="preserve">指标名称
</t>
    </r>
    <r>
      <rPr>
        <b/>
        <sz val="10"/>
        <color indexed="9"/>
        <rFont val="Book Antiqua"/>
        <family val="1"/>
      </rPr>
      <t>Items</t>
    </r>
  </si>
  <si>
    <r>
      <rPr>
        <b/>
        <sz val="10"/>
        <color indexed="9"/>
        <rFont val="宋体"/>
        <family val="3"/>
        <charset val="134"/>
      </rPr>
      <t xml:space="preserve">单位
</t>
    </r>
    <r>
      <rPr>
        <b/>
        <sz val="10"/>
        <color indexed="9"/>
        <rFont val="Book Antiqua"/>
        <family val="1"/>
      </rPr>
      <t>Unit</t>
    </r>
  </si>
  <si>
    <r>
      <rPr>
        <b/>
        <sz val="10"/>
        <color indexed="9"/>
        <rFont val="Book Antiqua"/>
        <family val="1"/>
      </rPr>
      <t>2015</t>
    </r>
    <r>
      <rPr>
        <b/>
        <sz val="10"/>
        <color indexed="9"/>
        <rFont val="宋体"/>
        <family val="3"/>
        <charset val="134"/>
      </rPr>
      <t>年预算</t>
    </r>
    <r>
      <rPr>
        <b/>
        <sz val="10"/>
        <color indexed="9"/>
        <rFont val="Book Antiqua"/>
        <family val="1"/>
      </rPr>
      <t>Budget for 2014</t>
    </r>
    <r>
      <rPr>
        <b/>
        <sz val="10"/>
        <color indexed="9"/>
        <rFont val="宋体"/>
        <family val="3"/>
        <charset val="134"/>
      </rPr>
      <t>④</t>
    </r>
  </si>
  <si>
    <t>1月</t>
  </si>
  <si>
    <r>
      <rPr>
        <b/>
        <sz val="10"/>
        <color indexed="9"/>
        <rFont val="宋体"/>
        <family val="3"/>
        <charset val="134"/>
      </rPr>
      <t>2月</t>
    </r>
  </si>
  <si>
    <r>
      <rPr>
        <b/>
        <sz val="10"/>
        <color indexed="9"/>
        <rFont val="宋体"/>
        <family val="3"/>
        <charset val="134"/>
      </rPr>
      <t>3月</t>
    </r>
  </si>
  <si>
    <r>
      <rPr>
        <b/>
        <sz val="10"/>
        <color indexed="9"/>
        <rFont val="宋体"/>
        <family val="3"/>
        <charset val="134"/>
      </rPr>
      <t>4月</t>
    </r>
  </si>
  <si>
    <r>
      <rPr>
        <b/>
        <sz val="10"/>
        <color indexed="9"/>
        <rFont val="宋体"/>
        <family val="3"/>
        <charset val="134"/>
      </rPr>
      <t>5月</t>
    </r>
  </si>
  <si>
    <r>
      <rPr>
        <b/>
        <sz val="10"/>
        <color indexed="9"/>
        <rFont val="宋体"/>
        <family val="3"/>
        <charset val="134"/>
      </rPr>
      <t>6月</t>
    </r>
  </si>
  <si>
    <r>
      <rPr>
        <b/>
        <sz val="10"/>
        <color indexed="9"/>
        <rFont val="宋体"/>
        <family val="3"/>
        <charset val="134"/>
      </rPr>
      <t>7月</t>
    </r>
  </si>
  <si>
    <r>
      <rPr>
        <b/>
        <sz val="10"/>
        <color indexed="9"/>
        <rFont val="宋体"/>
        <family val="3"/>
        <charset val="134"/>
      </rPr>
      <t>8月</t>
    </r>
  </si>
  <si>
    <r>
      <rPr>
        <b/>
        <sz val="10"/>
        <color indexed="9"/>
        <rFont val="宋体"/>
        <family val="3"/>
        <charset val="134"/>
      </rPr>
      <t>9月</t>
    </r>
  </si>
  <si>
    <r>
      <rPr>
        <b/>
        <sz val="10"/>
        <color indexed="9"/>
        <rFont val="宋体"/>
        <family val="3"/>
        <charset val="134"/>
      </rPr>
      <t>10月</t>
    </r>
  </si>
  <si>
    <r>
      <rPr>
        <b/>
        <sz val="10"/>
        <color indexed="9"/>
        <rFont val="宋体"/>
        <family val="3"/>
        <charset val="134"/>
      </rPr>
      <t>11月</t>
    </r>
  </si>
  <si>
    <r>
      <rPr>
        <b/>
        <sz val="10"/>
        <color indexed="9"/>
        <rFont val="宋体"/>
        <family val="3"/>
        <charset val="134"/>
      </rPr>
      <t>12月</t>
    </r>
  </si>
  <si>
    <t>年度合计</t>
  </si>
  <si>
    <r>
      <rPr>
        <b/>
        <sz val="10"/>
        <color indexed="9"/>
        <rFont val="宋体"/>
        <family val="3"/>
        <charset val="134"/>
      </rPr>
      <t>一、</t>
    </r>
  </si>
  <si>
    <r>
      <rPr>
        <b/>
        <sz val="10"/>
        <color indexed="9"/>
        <rFont val="宋体"/>
        <family val="3"/>
        <charset val="134"/>
      </rPr>
      <t>航空客货运指标</t>
    </r>
  </si>
  <si>
    <t>日历天数</t>
  </si>
  <si>
    <r>
      <rPr>
        <sz val="10"/>
        <rFont val="宋体"/>
        <family val="3"/>
        <charset val="134"/>
      </rPr>
      <t>期末在册飞机</t>
    </r>
    <r>
      <rPr>
        <sz val="10"/>
        <rFont val="Book Antiqua"/>
        <family val="1"/>
      </rPr>
      <t xml:space="preserve"> Aircraft in sevice</t>
    </r>
  </si>
  <si>
    <r>
      <rPr>
        <sz val="10"/>
        <rFont val="宋体"/>
        <family val="3"/>
        <charset val="134"/>
      </rPr>
      <t>架</t>
    </r>
  </si>
  <si>
    <t xml:space="preserve">      B737-800</t>
  </si>
  <si>
    <t xml:space="preserve">      B737-700</t>
  </si>
  <si>
    <t xml:space="preserve">      A319</t>
  </si>
  <si>
    <t xml:space="preserve">      A320</t>
  </si>
  <si>
    <r>
      <rPr>
        <sz val="10"/>
        <rFont val="宋体"/>
        <family val="3"/>
        <charset val="134"/>
      </rPr>
      <t>平均在册飞机</t>
    </r>
    <r>
      <rPr>
        <sz val="10"/>
        <rFont val="Book Antiqua"/>
        <family val="1"/>
      </rPr>
      <t xml:space="preserve"> Average Aircraft in service</t>
    </r>
  </si>
  <si>
    <r>
      <rPr>
        <sz val="10"/>
        <rFont val="宋体"/>
        <family val="3"/>
        <charset val="134"/>
      </rPr>
      <t>可提供日历座位</t>
    </r>
    <r>
      <rPr>
        <sz val="10"/>
        <rFont val="Book Antiqua"/>
        <family val="1"/>
      </rPr>
      <t xml:space="preserve"> Availables seats/day</t>
    </r>
  </si>
  <si>
    <r>
      <rPr>
        <sz val="10"/>
        <rFont val="宋体"/>
        <family val="3"/>
        <charset val="134"/>
      </rPr>
      <t>个</t>
    </r>
  </si>
  <si>
    <r>
      <rPr>
        <sz val="10"/>
        <rFont val="宋体"/>
        <family val="3"/>
        <charset val="134"/>
      </rPr>
      <t>周转量</t>
    </r>
    <r>
      <rPr>
        <sz val="10"/>
        <rFont val="Book Antiqua"/>
        <family val="1"/>
      </rPr>
      <t xml:space="preserve"> Freight-Tonne-Kilometers</t>
    </r>
  </si>
  <si>
    <r>
      <rPr>
        <sz val="10"/>
        <rFont val="宋体"/>
        <family val="3"/>
        <charset val="134"/>
      </rPr>
      <t>万吨公里</t>
    </r>
  </si>
  <si>
    <r>
      <rPr>
        <sz val="10"/>
        <rFont val="宋体"/>
        <family val="3"/>
        <charset val="134"/>
      </rPr>
      <t>旅客运输量</t>
    </r>
    <r>
      <rPr>
        <sz val="10"/>
        <rFont val="Book Antiqua"/>
        <family val="1"/>
      </rPr>
      <t xml:space="preserve"> Passenger Number </t>
    </r>
  </si>
  <si>
    <r>
      <rPr>
        <sz val="10"/>
        <rFont val="宋体"/>
        <family val="3"/>
        <charset val="134"/>
      </rPr>
      <t>万人次</t>
    </r>
  </si>
  <si>
    <r>
      <rPr>
        <sz val="10"/>
        <rFont val="宋体"/>
        <family val="3"/>
        <charset val="134"/>
      </rPr>
      <t>货邮运输量</t>
    </r>
    <r>
      <rPr>
        <sz val="10"/>
        <rFont val="Book Antiqua"/>
        <family val="1"/>
      </rPr>
      <t xml:space="preserve"> Freight / mail</t>
    </r>
  </si>
  <si>
    <r>
      <rPr>
        <sz val="10"/>
        <rFont val="宋体"/>
        <family val="3"/>
        <charset val="134"/>
      </rPr>
      <t>吨</t>
    </r>
  </si>
  <si>
    <r>
      <rPr>
        <sz val="10"/>
        <rFont val="宋体"/>
        <family val="3"/>
        <charset val="134"/>
      </rPr>
      <t>飞行小时</t>
    </r>
    <r>
      <rPr>
        <sz val="10"/>
        <rFont val="Book Antiqua"/>
        <family val="1"/>
      </rPr>
      <t xml:space="preserve"> Flying hours</t>
    </r>
  </si>
  <si>
    <r>
      <rPr>
        <sz val="10"/>
        <rFont val="宋体"/>
        <family val="3"/>
        <charset val="134"/>
      </rPr>
      <t>小时</t>
    </r>
    <r>
      <rPr>
        <sz val="10"/>
        <rFont val="Book Antiqua"/>
        <family val="1"/>
      </rPr>
      <t xml:space="preserve"> </t>
    </r>
  </si>
  <si>
    <r>
      <rPr>
        <sz val="10"/>
        <rFont val="宋体"/>
        <family val="3"/>
        <charset val="134"/>
      </rPr>
      <t>飞行班次</t>
    </r>
    <r>
      <rPr>
        <sz val="10"/>
        <rFont val="Book Antiqua"/>
        <family val="1"/>
      </rPr>
      <t xml:space="preserve"> Flight Number</t>
    </r>
  </si>
  <si>
    <r>
      <rPr>
        <sz val="10"/>
        <rFont val="宋体"/>
        <family val="3"/>
        <charset val="134"/>
      </rPr>
      <t>班次</t>
    </r>
  </si>
  <si>
    <r>
      <rPr>
        <sz val="10"/>
        <rFont val="宋体"/>
        <family val="3"/>
        <charset val="134"/>
      </rPr>
      <t>客座率</t>
    </r>
    <r>
      <rPr>
        <sz val="10"/>
        <rFont val="Book Antiqua"/>
        <family val="1"/>
      </rPr>
      <t xml:space="preserve"> Passenger-Load-Factor</t>
    </r>
  </si>
  <si>
    <t>%</t>
  </si>
  <si>
    <r>
      <rPr>
        <sz val="10"/>
        <rFont val="宋体"/>
        <family val="3"/>
        <charset val="134"/>
      </rPr>
      <t>载运率</t>
    </r>
    <r>
      <rPr>
        <sz val="10"/>
        <rFont val="Book Antiqua"/>
        <family val="1"/>
      </rPr>
      <t xml:space="preserve"> Load factors</t>
    </r>
  </si>
  <si>
    <r>
      <rPr>
        <sz val="10"/>
        <rFont val="宋体"/>
        <family val="3"/>
        <charset val="134"/>
      </rPr>
      <t>日利用率</t>
    </r>
    <r>
      <rPr>
        <sz val="10"/>
        <rFont val="Book Antiqua"/>
        <family val="1"/>
      </rPr>
      <t xml:space="preserve"> Aircraft utilisation (block hours)</t>
    </r>
  </si>
  <si>
    <r>
      <rPr>
        <sz val="10"/>
        <rFont val="宋体"/>
        <family val="3"/>
        <charset val="134"/>
      </rPr>
      <t>小时</t>
    </r>
  </si>
  <si>
    <r>
      <rPr>
        <sz val="10"/>
        <rFont val="宋体"/>
        <family val="3"/>
        <charset val="134"/>
      </rPr>
      <t>含附加费小时收入</t>
    </r>
    <r>
      <rPr>
        <sz val="10"/>
        <rFont val="Book Antiqua"/>
        <family val="1"/>
      </rPr>
      <t xml:space="preserve"> Hour revenue with surcharges </t>
    </r>
  </si>
  <si>
    <t>万元</t>
  </si>
  <si>
    <r>
      <rPr>
        <sz val="10"/>
        <rFont val="宋体"/>
        <family val="3"/>
        <charset val="134"/>
      </rPr>
      <t>小时完全成本</t>
    </r>
    <r>
      <rPr>
        <sz val="10"/>
        <rFont val="Book Antiqua"/>
        <family val="1"/>
      </rPr>
      <t xml:space="preserve"> Hour cost</t>
    </r>
  </si>
  <si>
    <r>
      <rPr>
        <sz val="10"/>
        <rFont val="宋体"/>
        <family val="3"/>
        <charset val="134"/>
      </rPr>
      <t>元</t>
    </r>
  </si>
  <si>
    <r>
      <rPr>
        <sz val="10"/>
        <rFont val="宋体"/>
        <family val="3"/>
        <charset val="134"/>
      </rPr>
      <t>小时变动成本</t>
    </r>
    <r>
      <rPr>
        <sz val="10"/>
        <rFont val="Book Antiqua"/>
        <family val="1"/>
      </rPr>
      <t xml:space="preserve"> Variable Hour Cost</t>
    </r>
  </si>
  <si>
    <r>
      <rPr>
        <sz val="10"/>
        <rFont val="宋体"/>
        <family val="3"/>
        <charset val="134"/>
      </rPr>
      <t>小时损益</t>
    </r>
    <r>
      <rPr>
        <sz val="10"/>
        <rFont val="Book Antiqua"/>
        <family val="1"/>
      </rPr>
      <t xml:space="preserve"> Hours profit and loss</t>
    </r>
  </si>
  <si>
    <r>
      <rPr>
        <sz val="10"/>
        <rFont val="宋体"/>
        <family val="3"/>
        <charset val="134"/>
      </rPr>
      <t>不含附加费小时收入</t>
    </r>
    <r>
      <rPr>
        <sz val="10"/>
        <rFont val="Book Antiqua"/>
        <family val="1"/>
      </rPr>
      <t xml:space="preserve"> Hour revenue ex surcharges</t>
    </r>
  </si>
  <si>
    <r>
      <rPr>
        <sz val="10"/>
        <rFont val="宋体"/>
        <family val="3"/>
        <charset val="134"/>
      </rPr>
      <t>飞行里程</t>
    </r>
    <r>
      <rPr>
        <sz val="10"/>
        <rFont val="Book Antiqua"/>
        <family val="1"/>
      </rPr>
      <t xml:space="preserve"> Freight Kilometers</t>
    </r>
  </si>
  <si>
    <r>
      <rPr>
        <sz val="10"/>
        <rFont val="宋体"/>
        <family val="3"/>
        <charset val="134"/>
      </rPr>
      <t>万公里</t>
    </r>
  </si>
  <si>
    <r>
      <rPr>
        <sz val="10"/>
        <rFont val="宋体"/>
        <family val="3"/>
        <charset val="134"/>
      </rPr>
      <t>旅客周转量</t>
    </r>
    <r>
      <rPr>
        <sz val="10"/>
        <rFont val="Book Antiqua"/>
        <family val="1"/>
      </rPr>
      <t xml:space="preserve"> RPK(Revenue-Passenger-Kilometers)</t>
    </r>
  </si>
  <si>
    <r>
      <rPr>
        <sz val="10"/>
        <rFont val="宋体"/>
        <family val="3"/>
        <charset val="134"/>
      </rPr>
      <t>万人公里</t>
    </r>
  </si>
  <si>
    <r>
      <rPr>
        <sz val="10"/>
        <rFont val="宋体"/>
        <family val="3"/>
        <charset val="134"/>
      </rPr>
      <t>货邮周转量</t>
    </r>
    <r>
      <rPr>
        <sz val="10"/>
        <rFont val="Book Antiqua"/>
        <family val="1"/>
      </rPr>
      <t xml:space="preserve"> FTK(Freight / mail tonne-kilometres)</t>
    </r>
  </si>
  <si>
    <t>ASK Available-Seat-Kilometers</t>
  </si>
  <si>
    <r>
      <rPr>
        <sz val="10"/>
        <rFont val="宋体"/>
        <family val="3"/>
        <charset val="134"/>
      </rPr>
      <t>万座公里</t>
    </r>
  </si>
  <si>
    <t>ATK available tonne-kilometres</t>
  </si>
  <si>
    <r>
      <rPr>
        <sz val="10"/>
        <rFont val="宋体"/>
        <family val="3"/>
        <charset val="134"/>
      </rPr>
      <t>平均航段小时</t>
    </r>
    <r>
      <rPr>
        <sz val="10"/>
        <rFont val="Book Antiqua"/>
        <family val="1"/>
      </rPr>
      <t xml:space="preserve"> Average flight hours</t>
    </r>
  </si>
  <si>
    <r>
      <rPr>
        <sz val="10"/>
        <rFont val="宋体"/>
        <family val="3"/>
        <charset val="134"/>
      </rPr>
      <t>平均航段距离</t>
    </r>
    <r>
      <rPr>
        <sz val="10"/>
        <rFont val="Book Antiqua"/>
        <family val="1"/>
      </rPr>
      <t xml:space="preserve"> Average flight distance</t>
    </r>
  </si>
  <si>
    <r>
      <rPr>
        <sz val="10"/>
        <rFont val="宋体"/>
        <family val="3"/>
        <charset val="134"/>
      </rPr>
      <t>公里</t>
    </r>
  </si>
  <si>
    <r>
      <rPr>
        <sz val="10"/>
        <rFont val="宋体"/>
        <family val="3"/>
        <charset val="134"/>
      </rPr>
      <t>含附加费运输收入</t>
    </r>
    <r>
      <rPr>
        <sz val="10"/>
        <rFont val="Book Antiqua"/>
        <family val="1"/>
      </rPr>
      <t xml:space="preserve"> Traffic revenue with surcharges</t>
    </r>
  </si>
  <si>
    <r>
      <rPr>
        <sz val="10"/>
        <rFont val="宋体"/>
        <family val="3"/>
        <charset val="134"/>
      </rPr>
      <t>万元</t>
    </r>
  </si>
  <si>
    <r>
      <rPr>
        <sz val="10"/>
        <rFont val="宋体"/>
        <family val="3"/>
        <charset val="134"/>
      </rPr>
      <t>不含附加费运输收入</t>
    </r>
    <r>
      <rPr>
        <sz val="10"/>
        <rFont val="Book Antiqua"/>
        <family val="1"/>
      </rPr>
      <t xml:space="preserve"> Traffic revenue ex surcharges</t>
    </r>
  </si>
  <si>
    <r>
      <rPr>
        <sz val="10"/>
        <rFont val="宋体"/>
        <family val="3"/>
        <charset val="134"/>
      </rPr>
      <t>燃油附加费</t>
    </r>
    <r>
      <rPr>
        <sz val="10"/>
        <rFont val="Book Antiqua"/>
        <family val="1"/>
      </rPr>
      <t xml:space="preserve"> fuel surcharges</t>
    </r>
  </si>
  <si>
    <r>
      <rPr>
        <sz val="10"/>
        <rFont val="宋体"/>
        <family val="3"/>
        <charset val="134"/>
      </rPr>
      <t>含附加费客运收入</t>
    </r>
    <r>
      <rPr>
        <sz val="10"/>
        <rFont val="Book Antiqua"/>
        <family val="1"/>
      </rPr>
      <t xml:space="preserve"> Passenger revenue with surcharges</t>
    </r>
  </si>
  <si>
    <r>
      <rPr>
        <sz val="10"/>
        <rFont val="宋体"/>
        <family val="3"/>
        <charset val="134"/>
      </rPr>
      <t>不含附加费客运收入</t>
    </r>
    <r>
      <rPr>
        <sz val="10"/>
        <rFont val="Book Antiqua"/>
        <family val="1"/>
      </rPr>
      <t xml:space="preserve"> Passenger revenue ex surcharges</t>
    </r>
  </si>
  <si>
    <r>
      <rPr>
        <sz val="10"/>
        <rFont val="宋体"/>
        <family val="3"/>
        <charset val="134"/>
      </rPr>
      <t>货邮收入</t>
    </r>
    <r>
      <rPr>
        <sz val="10"/>
        <rFont val="Book Antiqua"/>
        <family val="1"/>
      </rPr>
      <t xml:space="preserve"> Freight/mail revenue</t>
    </r>
  </si>
  <si>
    <r>
      <rPr>
        <sz val="10"/>
        <rFont val="宋体"/>
        <family val="3"/>
        <charset val="134"/>
      </rPr>
      <t>含附加费小时客运收入</t>
    </r>
    <r>
      <rPr>
        <sz val="10"/>
        <rFont val="Book Antiqua"/>
        <family val="1"/>
      </rPr>
      <t xml:space="preserve"> Income of passenger transportation per hour</t>
    </r>
    <r>
      <rPr>
        <sz val="10"/>
        <rFont val="宋体"/>
        <family val="3"/>
        <charset val="134"/>
      </rPr>
      <t>（</t>
    </r>
    <r>
      <rPr>
        <sz val="10"/>
        <rFont val="Book Antiqua"/>
        <family val="1"/>
      </rPr>
      <t>yuan</t>
    </r>
    <r>
      <rPr>
        <sz val="10"/>
        <rFont val="宋体"/>
        <family val="3"/>
        <charset val="134"/>
      </rPr>
      <t>）</t>
    </r>
  </si>
  <si>
    <r>
      <rPr>
        <sz val="10"/>
        <rFont val="宋体"/>
        <family val="3"/>
        <charset val="134"/>
      </rPr>
      <t>不含附加费小时客运收入</t>
    </r>
    <r>
      <rPr>
        <sz val="10"/>
        <rFont val="Book Antiqua"/>
        <family val="1"/>
      </rPr>
      <t xml:space="preserve"> Hours passenger revenue ex surcharges</t>
    </r>
  </si>
  <si>
    <r>
      <rPr>
        <sz val="10"/>
        <rFont val="宋体"/>
        <family val="3"/>
        <charset val="134"/>
      </rPr>
      <t>含附加费客公里收入</t>
    </r>
    <r>
      <rPr>
        <sz val="10"/>
        <rFont val="Book Antiqua"/>
        <family val="1"/>
      </rPr>
      <t xml:space="preserve"> Passenger-Kilometers revenue with surcharges</t>
    </r>
  </si>
  <si>
    <r>
      <rPr>
        <sz val="10"/>
        <rFont val="宋体"/>
        <family val="3"/>
        <charset val="134"/>
      </rPr>
      <t>含附加费座公里收入</t>
    </r>
    <r>
      <rPr>
        <sz val="10"/>
        <rFont val="Book Antiqua"/>
        <family val="1"/>
      </rPr>
      <t xml:space="preserve"> Seat-Kilometers revenue with surcharges</t>
    </r>
  </si>
  <si>
    <r>
      <rPr>
        <sz val="10"/>
        <rFont val="宋体"/>
        <family val="3"/>
        <charset val="134"/>
      </rPr>
      <t>含附加费及增值税运输收入</t>
    </r>
    <r>
      <rPr>
        <sz val="10"/>
        <rFont val="Book Antiqua"/>
        <family val="1"/>
      </rPr>
      <t>Individual aircraft revenue with surcharges and tax</t>
    </r>
  </si>
  <si>
    <r>
      <rPr>
        <sz val="10"/>
        <rFont val="宋体"/>
        <family val="3"/>
        <charset val="134"/>
      </rPr>
      <t>含附加费及增值税小时收入</t>
    </r>
    <r>
      <rPr>
        <sz val="10"/>
        <rFont val="Book Antiqua"/>
        <family val="1"/>
      </rPr>
      <t>Individual aircraft revenue with surcharges</t>
    </r>
  </si>
  <si>
    <t>小时货邮收入</t>
  </si>
  <si>
    <r>
      <rPr>
        <sz val="10"/>
        <rFont val="宋体"/>
        <family val="3"/>
        <charset val="134"/>
      </rPr>
      <t>含附加费平均票价</t>
    </r>
    <r>
      <rPr>
        <sz val="10"/>
        <rFont val="Book Antiqua"/>
        <family val="1"/>
      </rPr>
      <t xml:space="preserve"> Average ticket price with surcharges</t>
    </r>
  </si>
  <si>
    <r>
      <rPr>
        <sz val="10"/>
        <rFont val="宋体"/>
        <family val="3"/>
        <charset val="134"/>
      </rPr>
      <t>元</t>
    </r>
    <r>
      <rPr>
        <sz val="10"/>
        <rFont val="Book Antiqua"/>
        <family val="1"/>
      </rPr>
      <t>/</t>
    </r>
    <r>
      <rPr>
        <sz val="10"/>
        <rFont val="宋体"/>
        <family val="3"/>
        <charset val="134"/>
      </rPr>
      <t>人</t>
    </r>
  </si>
  <si>
    <r>
      <rPr>
        <sz val="10"/>
        <rFont val="宋体"/>
        <family val="3"/>
        <charset val="134"/>
      </rPr>
      <t>航油消耗</t>
    </r>
    <r>
      <rPr>
        <sz val="10"/>
        <rFont val="Book Antiqua"/>
        <family val="1"/>
      </rPr>
      <t xml:space="preserve"> Fuel consumptions</t>
    </r>
  </si>
  <si>
    <r>
      <rPr>
        <sz val="10"/>
        <rFont val="宋体"/>
        <family val="3"/>
        <charset val="134"/>
      </rPr>
      <t>小时油耗</t>
    </r>
    <r>
      <rPr>
        <sz val="10"/>
        <rFont val="Book Antiqua"/>
        <family val="1"/>
      </rPr>
      <t xml:space="preserve"> Hour fuel consumptions</t>
    </r>
  </si>
  <si>
    <r>
      <rPr>
        <sz val="10"/>
        <rFont val="宋体"/>
        <family val="3"/>
        <charset val="134"/>
      </rPr>
      <t>公斤</t>
    </r>
    <r>
      <rPr>
        <sz val="10"/>
        <rFont val="Book Antiqua"/>
        <family val="1"/>
      </rPr>
      <t>/</t>
    </r>
    <r>
      <rPr>
        <sz val="10"/>
        <rFont val="宋体"/>
        <family val="3"/>
        <charset val="134"/>
      </rPr>
      <t>小时</t>
    </r>
  </si>
  <si>
    <r>
      <rPr>
        <sz val="10"/>
        <rFont val="宋体"/>
        <family val="3"/>
        <charset val="134"/>
      </rPr>
      <t>吨公里耗油</t>
    </r>
    <r>
      <rPr>
        <sz val="10"/>
        <rFont val="Book Antiqua"/>
        <family val="1"/>
      </rPr>
      <t>Fuel Consumptions Tonne-Kilometers</t>
    </r>
  </si>
  <si>
    <r>
      <rPr>
        <sz val="10"/>
        <rFont val="宋体"/>
        <family val="3"/>
        <charset val="134"/>
      </rPr>
      <t>公斤</t>
    </r>
  </si>
  <si>
    <r>
      <rPr>
        <sz val="10"/>
        <rFont val="宋体"/>
        <family val="3"/>
        <charset val="134"/>
      </rPr>
      <t>单班起降费</t>
    </r>
    <r>
      <rPr>
        <sz val="10"/>
        <rFont val="Book Antiqua"/>
        <family val="1"/>
      </rPr>
      <t xml:space="preserve"> Average landing fee </t>
    </r>
  </si>
  <si>
    <r>
      <rPr>
        <sz val="10"/>
        <rFont val="宋体"/>
        <family val="3"/>
        <charset val="134"/>
      </rPr>
      <t>人均配餐及机供品</t>
    </r>
    <r>
      <rPr>
        <sz val="10"/>
        <rFont val="Book Antiqua"/>
        <family val="1"/>
      </rPr>
      <t xml:space="preserve"> Average Catering &amp; Supplies Cost </t>
    </r>
  </si>
  <si>
    <r>
      <rPr>
        <sz val="10"/>
        <rFont val="宋体"/>
        <family val="3"/>
        <charset val="134"/>
      </rPr>
      <t>小时航材维修成本</t>
    </r>
    <r>
      <rPr>
        <sz val="10"/>
        <rFont val="Book Antiqua"/>
        <family val="1"/>
      </rPr>
      <t xml:space="preserve"> Hour Maintenance Cost</t>
    </r>
  </si>
  <si>
    <r>
      <rPr>
        <sz val="10"/>
        <rFont val="宋体"/>
        <family val="3"/>
        <charset val="134"/>
      </rPr>
      <t>万元</t>
    </r>
    <r>
      <rPr>
        <sz val="10"/>
        <rFont val="Book Antiqua"/>
        <family val="1"/>
      </rPr>
      <t>/</t>
    </r>
    <r>
      <rPr>
        <sz val="10"/>
        <rFont val="宋体"/>
        <family val="3"/>
        <charset val="134"/>
      </rPr>
      <t>小时</t>
    </r>
  </si>
  <si>
    <r>
      <rPr>
        <sz val="10"/>
        <rFont val="宋体"/>
        <family val="3"/>
        <charset val="134"/>
      </rPr>
      <t>单班机组外站成本</t>
    </r>
    <r>
      <rPr>
        <sz val="10"/>
        <rFont val="Book Antiqua"/>
        <family val="1"/>
      </rPr>
      <t xml:space="preserve"> Average Flight Crew Cost</t>
    </r>
  </si>
  <si>
    <r>
      <rPr>
        <sz val="10"/>
        <rFont val="宋体"/>
        <family val="3"/>
        <charset val="134"/>
      </rPr>
      <t>元</t>
    </r>
    <r>
      <rPr>
        <sz val="10"/>
        <rFont val="Book Antiqua"/>
        <family val="1"/>
      </rPr>
      <t>/</t>
    </r>
    <r>
      <rPr>
        <sz val="10"/>
        <rFont val="宋体"/>
        <family val="3"/>
        <charset val="134"/>
      </rPr>
      <t>班</t>
    </r>
  </si>
  <si>
    <r>
      <rPr>
        <sz val="10"/>
        <rFont val="宋体"/>
        <family val="3"/>
        <charset val="134"/>
      </rPr>
      <t>人均不正常航班费</t>
    </r>
    <r>
      <rPr>
        <sz val="10"/>
        <rFont val="Book Antiqua"/>
        <family val="1"/>
      </rPr>
      <t xml:space="preserve"> Average Irregular Flights Cost</t>
    </r>
  </si>
  <si>
    <t>人均收入</t>
  </si>
  <si>
    <r>
      <rPr>
        <sz val="10"/>
        <rFont val="宋体"/>
        <family val="3"/>
        <charset val="134"/>
      </rPr>
      <t>万元</t>
    </r>
    <r>
      <rPr>
        <sz val="10"/>
        <rFont val="Book Antiqua"/>
        <family val="1"/>
      </rPr>
      <t>/</t>
    </r>
    <r>
      <rPr>
        <sz val="10"/>
        <rFont val="宋体"/>
        <family val="3"/>
        <charset val="134"/>
      </rPr>
      <t>人</t>
    </r>
  </si>
  <si>
    <t>人均利润</t>
  </si>
  <si>
    <t>在册天数</t>
  </si>
  <si>
    <t>天</t>
  </si>
  <si>
    <t>单机收入</t>
  </si>
  <si>
    <t xml:space="preserve">财务收支表 Financial Statement  </t>
  </si>
  <si>
    <t>单位：万元 （In 10000 RMB）</t>
  </si>
  <si>
    <t>指标名称
Items</t>
  </si>
  <si>
    <t>一、总收入(单位:万元)
1.Total revenue</t>
  </si>
  <si>
    <t>营业收入 
Operating revenue</t>
  </si>
  <si>
    <t>(一)主营业务收入
Prime operating revenue</t>
  </si>
  <si>
    <t>其中：客运收入
Passenger revenue</t>
  </si>
  <si>
    <t>其中：燃油附加收入
fuel surcharges</t>
  </si>
  <si>
    <t>货邮收入
Freight/mail revenue</t>
  </si>
  <si>
    <t>(二) 其他业务收入
Other operating revenue</t>
  </si>
  <si>
    <t>营业外收入NON-OPERATING INCOME</t>
  </si>
  <si>
    <t>其中：补贴收入Subsidize revenue</t>
  </si>
  <si>
    <t>二、总成本 
2. Total expenses</t>
  </si>
  <si>
    <t>生产运营成本 Operating Cost</t>
  </si>
  <si>
    <t>其中：航油（燃油）成本
aviation fuel Cost</t>
  </si>
  <si>
    <t>航材成本 
Aviation Spare Cost</t>
  </si>
  <si>
    <t xml:space="preserve">维修成本 
Maintenance cost </t>
  </si>
  <si>
    <t>起降服务费 
Landing Fee</t>
  </si>
  <si>
    <t>港口使用 
Port Fee</t>
  </si>
  <si>
    <t>物流代理成本 
Logistics agency cost</t>
  </si>
  <si>
    <t xml:space="preserve">项目成本
Project Cost </t>
  </si>
  <si>
    <t>商品购进成本
Merchandise procurement cost</t>
  </si>
  <si>
    <t>其他成本 Other Cost</t>
  </si>
  <si>
    <t>销售类费用Sales cost</t>
  </si>
  <si>
    <t>管理类费用
Administration expenses</t>
  </si>
  <si>
    <t>财务费用 Financial expenses</t>
  </si>
  <si>
    <t>人工成本 Human Resource Cost</t>
  </si>
  <si>
    <t>税金Tax</t>
  </si>
  <si>
    <t>营业外支出
Non-operating expenses</t>
  </si>
  <si>
    <t>其他 Others</t>
  </si>
  <si>
    <t>三、投资收益
3.Investment Income</t>
  </si>
  <si>
    <t>四、公允价值变动收益
4.Income From Changes In Fair Value</t>
  </si>
  <si>
    <t>五、净利润
5. Net profit</t>
  </si>
  <si>
    <t>销项税额output tax</t>
  </si>
  <si>
    <t>含销项税额总收入Total revenue include output tax</t>
  </si>
  <si>
    <t>利润表
Income Statement</t>
  </si>
  <si>
    <t>一、营业收入 1.Operating revenues</t>
  </si>
  <si>
    <t>减：营业成本 
Minus: Operating expenses</t>
  </si>
  <si>
    <t>营业税金及附加 
Sales tax and extra charges</t>
  </si>
  <si>
    <t>销售费用
Selling expenses</t>
  </si>
  <si>
    <t>管理费用
Administration expenses</t>
  </si>
  <si>
    <t>资产减值损失 Assets Impairment loss</t>
  </si>
  <si>
    <t>加：公允价值变动收益（损失以“－”号表示）
Plus: Income From Changes In Fair Value( Loss with"-")</t>
  </si>
  <si>
    <t>投资收益
Income from Investment( Loss with "-")</t>
  </si>
  <si>
    <t>其中：对联营企业和合营企业的投资收益
Including:  Investment income from associates</t>
  </si>
  <si>
    <r>
      <rPr>
        <b/>
        <sz val="10"/>
        <rFont val="宋体"/>
        <family val="3"/>
        <charset val="134"/>
      </rPr>
      <t>二、营业利润（亏损以“－”号表示）
2</t>
    </r>
    <r>
      <rPr>
        <b/>
        <sz val="10"/>
        <rFont val="宋体"/>
        <family val="3"/>
        <charset val="134"/>
      </rPr>
      <t>.</t>
    </r>
    <r>
      <rPr>
        <b/>
        <sz val="10"/>
        <rFont val="宋体"/>
        <family val="3"/>
        <charset val="134"/>
      </rPr>
      <t>Operating profit( Loss with "-")</t>
    </r>
  </si>
  <si>
    <t>加：营业外收入  Plus: Non-operating income</t>
  </si>
  <si>
    <t>其中：补贴收入</t>
  </si>
  <si>
    <t>减：营业外支出 Minus: Non-operating expenses</t>
  </si>
  <si>
    <t>其中：非流动资产处置损失
Including: loss on disposal of non-current assets</t>
  </si>
  <si>
    <t>三、利润总额（亏损以“－”号表示）
3.Total profit( Loss with "-")</t>
  </si>
  <si>
    <t>减：所得税 Minus: incoms tax expenses</t>
  </si>
  <si>
    <t>四、净利润（亏损以“－”号表示）
4. Net profit( Net loss with "-")</t>
  </si>
  <si>
    <t>校验区（请保留校验结果及链接）</t>
  </si>
  <si>
    <t>2014年年度飞机引进/退出计划
Aircraft in service Plan of Next Year</t>
  </si>
  <si>
    <t>序号
No.</t>
  </si>
  <si>
    <t>机型
Aircraft Type</t>
  </si>
  <si>
    <t>座位数
Seat Amount</t>
  </si>
  <si>
    <t>期初架数
Aircraft Amount</t>
  </si>
  <si>
    <t>引进公司
Company</t>
  </si>
  <si>
    <t>引进/退出方式
Mode</t>
  </si>
  <si>
    <t>引进/退出具体日期（年月日）
Date</t>
  </si>
  <si>
    <t>期末架数
Aircraft Amount</t>
  </si>
  <si>
    <t>平均在册
Average Aircraft in service</t>
  </si>
  <si>
    <t>B737-700</t>
  </si>
  <si>
    <t>祥鹏航空</t>
  </si>
  <si>
    <t>引进</t>
  </si>
  <si>
    <t>融资</t>
  </si>
  <si>
    <t>737-800</t>
  </si>
  <si>
    <t>737-700</t>
  </si>
  <si>
    <t>B737-800</t>
  </si>
  <si>
    <t>A319</t>
  </si>
  <si>
    <t>A320</t>
  </si>
  <si>
    <t>退出</t>
  </si>
  <si>
    <t>小计</t>
  </si>
  <si>
    <t xml:space="preserve">当月平均在册
</t>
  </si>
  <si>
    <t>投资收益明细表(Investment income detail table )</t>
  </si>
  <si>
    <t xml:space="preserve">序号 serial number </t>
  </si>
  <si>
    <t>单位名称(name of company)</t>
  </si>
  <si>
    <t>持股比例(Rate of share held)</t>
  </si>
  <si>
    <t>净利润(net gains)</t>
  </si>
  <si>
    <t>投资收益(investment income)</t>
  </si>
  <si>
    <t>合计(total)</t>
  </si>
  <si>
    <t>公允价值价值变动明细表(Changes in fair value detail table )</t>
  </si>
  <si>
    <t>投资类别(kinds of investment)</t>
  </si>
  <si>
    <t>资产名称(assets name)</t>
  </si>
  <si>
    <t>期初价值(opening value)</t>
  </si>
  <si>
    <t>期末价值(ending value)</t>
  </si>
  <si>
    <t>公允价值变动额(gains and 
losses on the change in fair value)</t>
  </si>
  <si>
    <t>合计</t>
  </si>
  <si>
    <t>航线 Routes</t>
  </si>
  <si>
    <t>飞行班次
Number of flights</t>
  </si>
  <si>
    <t>飞行小时
Flight hours</t>
  </si>
  <si>
    <t>旅客运输量
Passenger Number</t>
  </si>
  <si>
    <t>运输收入
Traffic revenue</t>
  </si>
  <si>
    <t>平均航段距离
Average flight distance</t>
  </si>
  <si>
    <t>客座率
Passenger-Load-Factor</t>
  </si>
  <si>
    <t>平均票价
Average ticket price</t>
  </si>
  <si>
    <t>小时收入
 revenue per hour</t>
  </si>
  <si>
    <t>小时变动成本
Variable Cost per hour</t>
  </si>
  <si>
    <t>小时完全运营成本
 Operating Cost per hour</t>
  </si>
  <si>
    <t>小时损益
 Profit per hour</t>
  </si>
  <si>
    <t>班次flights</t>
  </si>
  <si>
    <t>小时 hour</t>
  </si>
  <si>
    <t>万人 10000 passenger</t>
  </si>
  <si>
    <t>万元 10000 RMB</t>
  </si>
  <si>
    <t>公里</t>
  </si>
  <si>
    <t>元 RMB</t>
  </si>
  <si>
    <t>香港=北京</t>
  </si>
  <si>
    <t>……</t>
  </si>
  <si>
    <t>一、其他成本</t>
  </si>
  <si>
    <t xml:space="preserve">     机组外站成本</t>
  </si>
  <si>
    <t xml:space="preserve">     配餐及机供品</t>
  </si>
  <si>
    <t xml:space="preserve">     其他（与小时成正相关）</t>
  </si>
  <si>
    <t>二、销售费用</t>
  </si>
  <si>
    <t>其中：订座离港费</t>
  </si>
  <si>
    <t xml:space="preserve">     代理手续费</t>
  </si>
  <si>
    <t xml:space="preserve">     其他（与收入成正相关）</t>
  </si>
  <si>
    <t>三、财务费用</t>
  </si>
  <si>
    <t>其中：贷款利息支出</t>
  </si>
  <si>
    <t xml:space="preserve">     融资租赁财务费用</t>
  </si>
  <si>
    <t xml:space="preserve">     债券融资性费用</t>
  </si>
  <si>
    <t xml:space="preserve">     汇兑收益</t>
  </si>
  <si>
    <t xml:space="preserve">     利息收入</t>
  </si>
  <si>
    <t>平均人数</t>
    <phoneticPr fontId="45" type="noConversion"/>
  </si>
  <si>
    <t>其中：不正常航班费</t>
    <phoneticPr fontId="45" type="noConversion"/>
  </si>
  <si>
    <t xml:space="preserve">     机组外站成本（万元）</t>
    <phoneticPr fontId="45" type="noConversion"/>
  </si>
  <si>
    <t>不正常航班费（元）</t>
    <phoneticPr fontId="45" type="noConversion"/>
  </si>
  <si>
    <t xml:space="preserve">     配餐及机供品（元）</t>
    <phoneticPr fontId="45" type="noConversion"/>
  </si>
  <si>
    <t>飞机（船舶）租金 
Rent</t>
    <phoneticPr fontId="45" type="noConversion"/>
  </si>
  <si>
    <t>飞机（船舶）租金</t>
    <phoneticPr fontId="45" type="noConversion"/>
  </si>
  <si>
    <t>折旧及摊销 depreciation &amp; Amortization</t>
    <phoneticPr fontId="45" type="noConversion"/>
  </si>
  <si>
    <t xml:space="preserve">折旧及摊销 </t>
    <phoneticPr fontId="45" type="noConversion"/>
  </si>
  <si>
    <t xml:space="preserve">      B737-700</t>
    <phoneticPr fontId="45" type="noConversion"/>
  </si>
  <si>
    <t>航油成本jet fuel  cost (in 100 millions  CNY)</t>
  </si>
  <si>
    <t>飞机拥有成本TOC of aircraft/total cost of aircraft ownership (in 100 millions  CNY)</t>
  </si>
  <si>
    <t>起降成本take-off and landing cost (in 100 millions  CNY)</t>
  </si>
  <si>
    <t>配餐及机供品Catering&amp;Supplies cost (in 100 millions  CNY)</t>
  </si>
  <si>
    <t>航材维修maintenance cost (in 100 millions  CNY)</t>
  </si>
  <si>
    <t>辅助运营成本assistant operation cost (in 100 millions  CNY)</t>
  </si>
  <si>
    <t>人工成本human resources cost(in 100 millions  CNY)</t>
  </si>
  <si>
    <t>销售费用Sales Expense
(in 100 millions  CNY)</t>
  </si>
  <si>
    <t>管理费用Management Fee(in 100 millions  CNY)</t>
  </si>
  <si>
    <t>财务费用finance expenses (in 100 millions  CNY)</t>
  </si>
  <si>
    <t>税金及民建tax</t>
  </si>
  <si>
    <t>其他成本other costs(in 100 millions  CNY)</t>
  </si>
  <si>
    <t>年度累计</t>
  </si>
  <si>
    <t>1月</t>
    <phoneticPr fontId="44" type="noConversion"/>
  </si>
  <si>
    <t>2月</t>
    <phoneticPr fontId="44" type="noConversion"/>
  </si>
  <si>
    <t>3月</t>
    <phoneticPr fontId="44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</si>
  <si>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</si>
  <si>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</si>
  <si>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</si>
  <si>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</si>
  <si>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</si>
  <si>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</si>
  <si>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</si>
  <si>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</si>
  <si>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</si>
  <si>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44" type="noConversion"/>
  </si>
  <si>
    <t>合计（total）</t>
    <phoneticPr fontId="44" type="noConversion"/>
  </si>
  <si>
    <t>飞机租金</t>
    <phoneticPr fontId="44" type="noConversion"/>
  </si>
  <si>
    <t>折旧</t>
    <phoneticPr fontId="44" type="noConversion"/>
  </si>
  <si>
    <t>客运收入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</si>
</sst>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-* #,##0.00_-;\-* #,##0.00_-;_-* &quot;-&quot;??_-;_-@_-"/>
    <numFmt numFmtId="178" formatCode="0.00_);[Red]\(0.00\)"/>
    <numFmt numFmtId="179" formatCode="_-* #,##0_-;\-* #,##0_-;_-* &quot;-&quot;_-;_-@_-"/>
    <numFmt numFmtId="180" formatCode="_ * #,##0_ ;_ * \-#,##0_ ;_ * &quot;-&quot;??_ ;_ @_ "/>
    <numFmt numFmtId="181" formatCode="yyyy&quot;年&quot;m&quot;月&quot;;@"/>
    <numFmt numFmtId="182" formatCode="0_ "/>
    <numFmt numFmtId="183" formatCode="0.000_);[Red]\(0.000\)"/>
    <numFmt numFmtId="184" formatCode="_ * #,##0.00_ ;_ * \-#,##0.00_ ;_ * &quot;-&quot;_ ;_ @_ "/>
    <numFmt numFmtId="185" formatCode="0.000"/>
    <numFmt numFmtId="186" formatCode="0.00_ "/>
    <numFmt numFmtId="187" formatCode="_ * #,##0.0_ ;_ * \-#,##0.0_ ;_ * &quot;-&quot;??_ ;_ @_ "/>
    <numFmt numFmtId="188" formatCode="_ * #,##0.00_ ;_ * \-#,##0.00_ ;_ * &quot;-&quot;??.00_ ;_ @_ "/>
    <numFmt numFmtId="189" formatCode="0.000000_ "/>
    <numFmt numFmtId="190" formatCode="_ * #,##0.000_ ;_ * \-#,##0.000_ ;_ * &quot;-&quot;??.000_ ;_ @_ "/>
    <numFmt numFmtId="191" formatCode="0_);[Red]\(0\)"/>
    <numFmt numFmtId="192" formatCode="_ * #,##0.00000000_ ;_ * \-#,##0.00000000_ ;_ * &quot;-&quot;??_ ;_ @_ "/>
    <numFmt numFmtId="193" formatCode="_ * #,##0.0000_ ;_ * \-#,##0.0000_ ;_ * &quot;-&quot;_ ;_ @_ "/>
    <numFmt numFmtId="194" formatCode="_ * #,##0.0000_ ;_ * \-#,##0.0000_ ;_ * &quot;-&quot;??_ ;_ @_ "/>
    <numFmt numFmtId="196" formatCode="_ &quot;￥&quot;* #,##0.0000000000000_ ;_ &quot;￥&quot;* \-#,##0.0000000000000_ ;_ &quot;￥&quot;* &quot;-&quot;?????????????_ ;_ @_ "/>
    <numFmt numFmtId="197" formatCode="_ * #,##0.000000_ ;_ * \-#,##0.000000_ ;_ * &quot;-&quot;??_ ;_ @_ "/>
    <numFmt numFmtId="198" formatCode="#,##0.00_ "/>
    <numFmt numFmtId="199" formatCode="_ * #,##0.000_ ;_ * \-#,##0.000_ ;_ * &quot;-&quot;??_ ;_ @_ "/>
  </numFmts>
  <fonts count="54">
    <font>
      <sz val="12"/>
      <name val="宋体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Book Antiqua"/>
      <family val="1"/>
    </font>
    <font>
      <b/>
      <sz val="10"/>
      <name val="宋体"/>
      <family val="3"/>
      <charset val="134"/>
    </font>
    <font>
      <b/>
      <sz val="10"/>
      <name val="Book Antiqua"/>
      <family val="1"/>
    </font>
    <font>
      <sz val="10"/>
      <name val="宋体"/>
      <family val="3"/>
      <charset val="134"/>
    </font>
    <font>
      <sz val="10"/>
      <name val="Book Antiqua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2"/>
      <name val="宋体"/>
      <family val="3"/>
      <charset val="134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b/>
      <sz val="14"/>
      <name val="宋体"/>
      <family val="3"/>
      <charset val="134"/>
    </font>
    <font>
      <sz val="12"/>
      <name val="Book Antiqua"/>
      <family val="1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2"/>
      <name val="宋体"/>
      <family val="3"/>
      <charset val="134"/>
    </font>
    <font>
      <sz val="10"/>
      <name val="Arial"/>
      <family val="2"/>
    </font>
    <font>
      <b/>
      <sz val="11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1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2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2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仿宋_GB2312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1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22"/>
      <name val="宋体"/>
      <family val="3"/>
      <charset val="134"/>
    </font>
    <font>
      <b/>
      <sz val="15"/>
      <color indexed="2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16">
    <xf numFmtId="0" fontId="0" fillId="0" borderId="0">
      <alignment vertical="center"/>
    </xf>
    <xf numFmtId="43" fontId="4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30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16" borderId="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16" borderId="4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16" borderId="4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3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43" fillId="22" borderId="32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25" borderId="34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6" fillId="16" borderId="2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6" fillId="20" borderId="2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6" fillId="16" borderId="2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6" borderId="25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8" fillId="0" borderId="35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25" borderId="34" applyNumberFormat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4" fillId="2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41" fontId="43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6" borderId="25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2" borderId="32" applyNumberFormat="0" applyFont="0" applyAlignment="0" applyProtection="0">
      <alignment vertical="center"/>
    </xf>
    <xf numFmtId="0" fontId="43" fillId="0" borderId="0">
      <alignment vertical="center"/>
    </xf>
    <xf numFmtId="0" fontId="43" fillId="22" borderId="37" applyNumberFormat="0" applyFont="0" applyAlignment="0" applyProtection="0">
      <alignment vertical="center"/>
    </xf>
    <xf numFmtId="0" fontId="43" fillId="0" borderId="0">
      <alignment vertical="center"/>
    </xf>
    <xf numFmtId="0" fontId="43" fillId="22" borderId="32" applyNumberFormat="0" applyFont="0" applyAlignment="0" applyProtection="0">
      <alignment vertical="center"/>
    </xf>
    <xf numFmtId="0" fontId="1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22" borderId="32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176" fontId="43" fillId="0" borderId="0" applyFont="0" applyFill="0" applyBorder="0" applyAlignment="0" applyProtection="0">
      <alignment vertical="center"/>
    </xf>
    <xf numFmtId="0" fontId="41" fillId="25" borderId="38" applyNumberFormat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35" fillId="25" borderId="34" applyNumberFormat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35" fillId="25" borderId="34" applyNumberFormat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179" fontId="43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179" fontId="43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13" borderId="25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6" borderId="4" applyNumberFormat="0" applyAlignment="0" applyProtection="0">
      <alignment vertical="center"/>
    </xf>
    <xf numFmtId="0" fontId="18" fillId="13" borderId="25" applyNumberFormat="0" applyAlignment="0" applyProtection="0">
      <alignment vertical="center"/>
    </xf>
    <xf numFmtId="0" fontId="42" fillId="13" borderId="25" applyNumberFormat="0" applyAlignment="0" applyProtection="0">
      <alignment vertical="center"/>
    </xf>
    <xf numFmtId="0" fontId="18" fillId="13" borderId="25" applyNumberFormat="0" applyAlignment="0" applyProtection="0">
      <alignment vertical="center"/>
    </xf>
    <xf numFmtId="0" fontId="18" fillId="13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04"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188" applyFont="1" applyFill="1" applyBorder="1" applyAlignment="1">
      <alignment horizontal="center" vertical="center" wrapText="1"/>
    </xf>
    <xf numFmtId="178" fontId="1" fillId="2" borderId="1" xfId="188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80" fontId="4" fillId="0" borderId="0" xfId="3" applyNumberFormat="1" applyFont="1" applyAlignment="1"/>
    <xf numFmtId="0" fontId="5" fillId="0" borderId="0" xfId="0" applyFont="1" applyAlignment="1">
      <alignment vertical="center"/>
    </xf>
    <xf numFmtId="180" fontId="6" fillId="0" borderId="0" xfId="3" applyNumberFormat="1" applyFont="1" applyAlignment="1"/>
    <xf numFmtId="0" fontId="5" fillId="0" borderId="0" xfId="0" applyFont="1" applyAlignment="1"/>
    <xf numFmtId="180" fontId="6" fillId="0" borderId="0" xfId="0" applyNumberFormat="1" applyFont="1" applyAlignment="1"/>
    <xf numFmtId="0" fontId="3" fillId="0" borderId="0" xfId="0" applyFont="1" applyAlignment="1"/>
    <xf numFmtId="180" fontId="4" fillId="0" borderId="0" xfId="0" applyNumberFormat="1" applyFont="1" applyAlignment="1"/>
    <xf numFmtId="0" fontId="6" fillId="0" borderId="0" xfId="0" applyFont="1" applyAlignment="1"/>
    <xf numFmtId="180" fontId="0" fillId="0" borderId="0" xfId="0" applyNumberFormat="1" applyAlignment="1"/>
    <xf numFmtId="0" fontId="3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1" fillId="2" borderId="4" xfId="246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81" fontId="5" fillId="0" borderId="7" xfId="0" applyNumberFormat="1" applyFont="1" applyFill="1" applyBorder="1" applyAlignment="1">
      <alignment horizontal="center" vertical="center" wrapText="1" shrinkToFit="1"/>
    </xf>
    <xf numFmtId="180" fontId="8" fillId="0" borderId="1" xfId="3" applyNumberFormat="1" applyFont="1" applyFill="1" applyBorder="1" applyAlignment="1">
      <alignment vertical="center" shrinkToFit="1"/>
    </xf>
    <xf numFmtId="181" fontId="9" fillId="0" borderId="7" xfId="0" applyNumberFormat="1" applyFont="1" applyFill="1" applyBorder="1" applyAlignment="1">
      <alignment horizontal="center" vertical="center" wrapText="1" shrinkToFit="1"/>
    </xf>
    <xf numFmtId="181" fontId="9" fillId="0" borderId="7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180" fontId="8" fillId="0" borderId="1" xfId="3" applyNumberFormat="1" applyFont="1" applyFill="1" applyBorder="1" applyAlignment="1">
      <alignment horizontal="right" vertical="center" shrinkToFit="1"/>
    </xf>
    <xf numFmtId="181" fontId="9" fillId="0" borderId="0" xfId="0" applyNumberFormat="1" applyFont="1" applyFill="1" applyBorder="1" applyAlignment="1">
      <alignment horizontal="center" vertical="center" shrinkToFit="1"/>
    </xf>
    <xf numFmtId="180" fontId="8" fillId="0" borderId="0" xfId="3" applyNumberFormat="1" applyFont="1" applyFill="1" applyBorder="1" applyAlignment="1">
      <alignment vertical="center" shrinkToFit="1"/>
    </xf>
    <xf numFmtId="43" fontId="0" fillId="0" borderId="0" xfId="0" applyNumberFormat="1" applyAlignment="1">
      <alignment vertical="center" shrinkToFit="1"/>
    </xf>
    <xf numFmtId="0" fontId="6" fillId="0" borderId="0" xfId="193" applyFont="1" applyAlignment="1">
      <alignment horizontal="center" vertical="center"/>
    </xf>
    <xf numFmtId="0" fontId="4" fillId="0" borderId="0" xfId="193" applyFont="1">
      <alignment vertical="center"/>
    </xf>
    <xf numFmtId="0" fontId="6" fillId="0" borderId="0" xfId="193" applyFont="1">
      <alignment vertical="center"/>
    </xf>
    <xf numFmtId="0" fontId="10" fillId="0" borderId="0" xfId="193" applyFont="1">
      <alignment vertical="center"/>
    </xf>
    <xf numFmtId="0" fontId="1" fillId="2" borderId="8" xfId="188" applyFont="1" applyFill="1" applyBorder="1" applyAlignment="1">
      <alignment horizontal="center" vertical="center" wrapText="1"/>
    </xf>
    <xf numFmtId="0" fontId="1" fillId="2" borderId="1" xfId="214" applyFont="1" applyFill="1" applyBorder="1" applyAlignment="1">
      <alignment horizontal="center" vertical="center" wrapText="1"/>
    </xf>
    <xf numFmtId="0" fontId="5" fillId="0" borderId="1" xfId="193" applyFont="1" applyBorder="1" applyAlignment="1">
      <alignment horizontal="left"/>
    </xf>
    <xf numFmtId="9" fontId="6" fillId="0" borderId="1" xfId="193" applyNumberFormat="1" applyFont="1" applyBorder="1" applyAlignment="1"/>
    <xf numFmtId="180" fontId="6" fillId="0" borderId="1" xfId="265" applyNumberFormat="1" applyFont="1" applyBorder="1" applyAlignment="1">
      <alignment vertical="center"/>
    </xf>
    <xf numFmtId="0" fontId="5" fillId="0" borderId="1" xfId="193" applyFont="1" applyBorder="1" applyAlignment="1">
      <alignment horizontal="left" vertical="center"/>
    </xf>
    <xf numFmtId="0" fontId="3" fillId="0" borderId="1" xfId="193" applyFont="1" applyBorder="1" applyAlignment="1">
      <alignment horizontal="left"/>
    </xf>
    <xf numFmtId="0" fontId="4" fillId="0" borderId="1" xfId="193" applyFont="1" applyBorder="1" applyAlignment="1"/>
    <xf numFmtId="180" fontId="4" fillId="0" borderId="1" xfId="265" applyNumberFormat="1" applyFont="1" applyBorder="1" applyAlignment="1"/>
    <xf numFmtId="0" fontId="10" fillId="0" borderId="5" xfId="214" applyFont="1" applyBorder="1" applyAlignment="1">
      <alignment vertical="center"/>
    </xf>
    <xf numFmtId="0" fontId="11" fillId="0" borderId="5" xfId="214" applyFont="1" applyBorder="1" applyAlignment="1"/>
    <xf numFmtId="0" fontId="12" fillId="0" borderId="1" xfId="214" applyFont="1" applyBorder="1" applyAlignment="1">
      <alignment horizontal="center"/>
    </xf>
    <xf numFmtId="0" fontId="12" fillId="0" borderId="1" xfId="214" applyFont="1" applyBorder="1" applyAlignment="1">
      <alignment horizontal="right"/>
    </xf>
    <xf numFmtId="0" fontId="12" fillId="0" borderId="1" xfId="214" applyFont="1" applyBorder="1" applyAlignment="1">
      <alignment horizontal="left"/>
    </xf>
    <xf numFmtId="0" fontId="3" fillId="0" borderId="1" xfId="193" applyFont="1" applyBorder="1" applyAlignment="1">
      <alignment horizontal="center" vertical="center"/>
    </xf>
    <xf numFmtId="0" fontId="4" fillId="0" borderId="1" xfId="193" applyFont="1" applyBorder="1">
      <alignment vertical="center"/>
    </xf>
    <xf numFmtId="0" fontId="3" fillId="0" borderId="9" xfId="314" applyFont="1" applyBorder="1" applyAlignment="1"/>
    <xf numFmtId="0" fontId="5" fillId="0" borderId="9" xfId="314" applyFont="1" applyBorder="1" applyAlignment="1"/>
    <xf numFmtId="0" fontId="1" fillId="2" borderId="1" xfId="314" applyFont="1" applyFill="1" applyBorder="1" applyAlignment="1">
      <alignment horizontal="center" vertical="center" wrapText="1"/>
    </xf>
    <xf numFmtId="0" fontId="5" fillId="0" borderId="1" xfId="314" applyFont="1" applyBorder="1" applyAlignment="1">
      <alignment horizontal="center" wrapText="1"/>
    </xf>
    <xf numFmtId="0" fontId="5" fillId="0" borderId="1" xfId="314" applyFont="1" applyBorder="1" applyAlignment="1"/>
    <xf numFmtId="14" fontId="5" fillId="0" borderId="1" xfId="314" applyNumberFormat="1" applyFont="1" applyBorder="1" applyAlignment="1">
      <alignment horizontal="center" wrapText="1"/>
    </xf>
    <xf numFmtId="0" fontId="5" fillId="0" borderId="1" xfId="314" applyFont="1" applyFill="1" applyBorder="1" applyAlignment="1">
      <alignment horizontal="center" wrapText="1"/>
    </xf>
    <xf numFmtId="0" fontId="3" fillId="3" borderId="1" xfId="314" applyFont="1" applyFill="1" applyBorder="1" applyAlignment="1">
      <alignment horizontal="center" wrapText="1"/>
    </xf>
    <xf numFmtId="41" fontId="5" fillId="3" borderId="1" xfId="314" applyNumberFormat="1" applyFont="1" applyFill="1" applyBorder="1" applyAlignment="1"/>
    <xf numFmtId="41" fontId="3" fillId="3" borderId="1" xfId="314" applyNumberFormat="1" applyFont="1" applyFill="1" applyBorder="1" applyAlignment="1">
      <alignment horizontal="center" wrapText="1"/>
    </xf>
    <xf numFmtId="41" fontId="3" fillId="3" borderId="1" xfId="314" applyNumberFormat="1" applyFont="1" applyFill="1" applyBorder="1" applyAlignment="1"/>
    <xf numFmtId="14" fontId="5" fillId="4" borderId="1" xfId="314" applyNumberFormat="1" applyFont="1" applyFill="1" applyBorder="1" applyAlignment="1">
      <alignment horizontal="center" wrapText="1"/>
    </xf>
    <xf numFmtId="14" fontId="5" fillId="0" borderId="13" xfId="314" applyNumberFormat="1" applyFont="1" applyBorder="1" applyAlignment="1"/>
    <xf numFmtId="0" fontId="5" fillId="0" borderId="14" xfId="314" applyFont="1" applyBorder="1" applyAlignment="1"/>
    <xf numFmtId="43" fontId="5" fillId="0" borderId="1" xfId="3" applyNumberFormat="1" applyFont="1" applyBorder="1" applyAlignment="1">
      <alignment horizontal="center" wrapText="1"/>
    </xf>
    <xf numFmtId="0" fontId="5" fillId="0" borderId="13" xfId="314" applyFont="1" applyBorder="1" applyAlignment="1"/>
    <xf numFmtId="43" fontId="5" fillId="0" borderId="1" xfId="3" applyNumberFormat="1" applyFont="1" applyBorder="1" applyAlignment="1">
      <alignment horizontal="right"/>
    </xf>
    <xf numFmtId="182" fontId="5" fillId="0" borderId="1" xfId="314" applyNumberFormat="1" applyFont="1" applyBorder="1" applyAlignment="1"/>
    <xf numFmtId="185" fontId="5" fillId="0" borderId="1" xfId="314" applyNumberFormat="1" applyFont="1" applyBorder="1" applyAlignment="1">
      <alignment horizontal="right"/>
    </xf>
    <xf numFmtId="0" fontId="3" fillId="0" borderId="14" xfId="314" applyFont="1" applyBorder="1" applyAlignment="1"/>
    <xf numFmtId="185" fontId="5" fillId="0" borderId="1" xfId="314" applyNumberFormat="1" applyFont="1" applyFill="1" applyBorder="1" applyAlignment="1">
      <alignment horizontal="right"/>
    </xf>
    <xf numFmtId="184" fontId="3" fillId="3" borderId="1" xfId="314" applyNumberFormat="1" applyFont="1" applyFill="1" applyBorder="1" applyAlignment="1">
      <alignment horizontal="right"/>
    </xf>
    <xf numFmtId="0" fontId="5" fillId="0" borderId="18" xfId="314" applyFont="1" applyBorder="1" applyAlignment="1"/>
    <xf numFmtId="14" fontId="5" fillId="0" borderId="9" xfId="314" applyNumberFormat="1" applyFont="1" applyBorder="1" applyAlignment="1"/>
    <xf numFmtId="185" fontId="5" fillId="0" borderId="9" xfId="314" applyNumberFormat="1" applyFont="1" applyBorder="1" applyAlignment="1"/>
    <xf numFmtId="43" fontId="5" fillId="0" borderId="9" xfId="3" applyFont="1" applyBorder="1" applyAlignment="1"/>
    <xf numFmtId="0" fontId="3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3" fillId="0" borderId="1" xfId="314" applyNumberFormat="1" applyFont="1" applyFill="1" applyBorder="1" applyAlignment="1">
      <alignment horizontal="left" vertical="center" wrapText="1"/>
    </xf>
    <xf numFmtId="180" fontId="4" fillId="0" borderId="1" xfId="0" applyNumberFormat="1" applyFont="1" applyBorder="1" applyAlignment="1">
      <alignment vertical="center" wrapText="1"/>
    </xf>
    <xf numFmtId="180" fontId="4" fillId="0" borderId="1" xfId="3" applyNumberFormat="1" applyFont="1" applyBorder="1" applyAlignment="1">
      <alignment vertical="center" wrapText="1"/>
    </xf>
    <xf numFmtId="0" fontId="5" fillId="0" borderId="1" xfId="314" applyNumberFormat="1" applyFont="1" applyFill="1" applyBorder="1" applyAlignment="1">
      <alignment horizontal="left" vertical="center" wrapText="1" indent="1"/>
    </xf>
    <xf numFmtId="180" fontId="6" fillId="0" borderId="1" xfId="0" applyNumberFormat="1" applyFont="1" applyBorder="1" applyAlignment="1">
      <alignment vertical="center" wrapText="1"/>
    </xf>
    <xf numFmtId="0" fontId="5" fillId="0" borderId="1" xfId="314" applyNumberFormat="1" applyFont="1" applyFill="1" applyBorder="1" applyAlignment="1">
      <alignment horizontal="left" vertical="center" wrapText="1" indent="2"/>
    </xf>
    <xf numFmtId="180" fontId="6" fillId="0" borderId="1" xfId="3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180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vertical="center" wrapText="1"/>
    </xf>
    <xf numFmtId="180" fontId="5" fillId="0" borderId="0" xfId="0" applyNumberFormat="1" applyFont="1" applyAlignment="1">
      <alignment vertical="center" wrapText="1"/>
    </xf>
    <xf numFmtId="186" fontId="3" fillId="0" borderId="0" xfId="0" applyNumberFormat="1" applyFont="1" applyFill="1" applyAlignment="1">
      <alignment vertical="center" wrapText="1"/>
    </xf>
    <xf numFmtId="43" fontId="5" fillId="0" borderId="0" xfId="0" applyNumberFormat="1" applyFont="1" applyAlignment="1">
      <alignment vertical="center" wrapText="1"/>
    </xf>
    <xf numFmtId="186" fontId="5" fillId="0" borderId="0" xfId="0" applyNumberFormat="1" applyFont="1" applyFill="1" applyAlignment="1">
      <alignment vertical="center" wrapText="1"/>
    </xf>
    <xf numFmtId="43" fontId="3" fillId="0" borderId="0" xfId="3" applyFont="1" applyAlignment="1">
      <alignment vertical="center" wrapText="1"/>
    </xf>
    <xf numFmtId="180" fontId="3" fillId="0" borderId="0" xfId="3" applyNumberFormat="1" applyFont="1" applyAlignment="1">
      <alignment vertical="center" wrapText="1"/>
    </xf>
    <xf numFmtId="187" fontId="3" fillId="0" borderId="0" xfId="3" applyNumberFormat="1" applyFont="1" applyAlignment="1">
      <alignment vertical="center" wrapText="1"/>
    </xf>
    <xf numFmtId="180" fontId="3" fillId="0" borderId="0" xfId="0" applyNumberFormat="1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1" xfId="77" applyFont="1" applyFill="1" applyBorder="1" applyAlignment="1">
      <alignment horizontal="left" vertical="center" wrapText="1"/>
    </xf>
    <xf numFmtId="180" fontId="6" fillId="0" borderId="1" xfId="0" applyNumberFormat="1" applyFont="1" applyFill="1" applyBorder="1" applyAlignment="1">
      <alignment vertical="center" wrapText="1"/>
    </xf>
    <xf numFmtId="0" fontId="5" fillId="0" borderId="1" xfId="77" applyFont="1" applyFill="1" applyBorder="1" applyAlignment="1">
      <alignment horizontal="left" vertical="center" wrapText="1" indent="1"/>
    </xf>
    <xf numFmtId="180" fontId="6" fillId="0" borderId="1" xfId="3" applyNumberFormat="1" applyFont="1" applyFill="1" applyBorder="1" applyAlignment="1">
      <alignment vertical="center" wrapText="1"/>
    </xf>
    <xf numFmtId="0" fontId="5" fillId="0" borderId="1" xfId="77" applyFont="1" applyFill="1" applyBorder="1" applyAlignment="1">
      <alignment horizontal="left" vertical="center" wrapText="1" indent="2"/>
    </xf>
    <xf numFmtId="0" fontId="5" fillId="0" borderId="1" xfId="77" applyFont="1" applyFill="1" applyBorder="1" applyAlignment="1">
      <alignment horizontal="left" vertical="center" wrapText="1" indent="3"/>
    </xf>
    <xf numFmtId="0" fontId="6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 indent="2"/>
    </xf>
    <xf numFmtId="0" fontId="5" fillId="5" borderId="1" xfId="77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vertical="center" wrapText="1"/>
    </xf>
    <xf numFmtId="180" fontId="6" fillId="5" borderId="1" xfId="0" applyNumberFormat="1" applyFont="1" applyFill="1" applyBorder="1" applyAlignment="1">
      <alignment vertical="center" wrapText="1"/>
    </xf>
    <xf numFmtId="188" fontId="5" fillId="0" borderId="0" xfId="3" applyNumberFormat="1" applyFont="1" applyFill="1" applyAlignment="1">
      <alignment vertical="center" wrapText="1"/>
    </xf>
    <xf numFmtId="180" fontId="5" fillId="0" borderId="0" xfId="3" applyNumberFormat="1" applyFont="1" applyFill="1" applyAlignment="1">
      <alignment vertical="center" wrapText="1"/>
    </xf>
    <xf numFmtId="189" fontId="5" fillId="0" borderId="0" xfId="0" applyNumberFormat="1" applyFont="1" applyFill="1" applyAlignment="1">
      <alignment vertical="center" wrapText="1"/>
    </xf>
    <xf numFmtId="180" fontId="5" fillId="0" borderId="0" xfId="0" applyNumberFormat="1" applyFont="1" applyFill="1" applyAlignment="1">
      <alignment vertical="center" wrapText="1"/>
    </xf>
    <xf numFmtId="188" fontId="6" fillId="0" borderId="1" xfId="3" applyNumberFormat="1" applyFont="1" applyFill="1" applyBorder="1" applyAlignment="1">
      <alignment vertical="center" wrapText="1"/>
    </xf>
    <xf numFmtId="43" fontId="6" fillId="0" borderId="1" xfId="3" applyFont="1" applyFill="1" applyBorder="1" applyAlignment="1">
      <alignment vertical="center" wrapText="1"/>
    </xf>
    <xf numFmtId="190" fontId="5" fillId="0" borderId="0" xfId="0" applyNumberFormat="1" applyFont="1" applyFill="1" applyAlignment="1">
      <alignment vertical="center" wrapText="1"/>
    </xf>
    <xf numFmtId="43" fontId="5" fillId="0" borderId="0" xfId="0" applyNumberFormat="1" applyFont="1" applyFill="1" applyAlignment="1">
      <alignment vertical="center" wrapText="1"/>
    </xf>
    <xf numFmtId="0" fontId="6" fillId="0" borderId="0" xfId="314" applyFont="1" applyAlignment="1">
      <alignment vertical="center"/>
    </xf>
    <xf numFmtId="0" fontId="6" fillId="5" borderId="0" xfId="314" applyFont="1" applyFill="1" applyAlignment="1">
      <alignment vertical="center"/>
    </xf>
    <xf numFmtId="0" fontId="6" fillId="0" borderId="0" xfId="314" applyFont="1" applyFill="1" applyAlignment="1">
      <alignment vertical="center"/>
    </xf>
    <xf numFmtId="0" fontId="5" fillId="5" borderId="0" xfId="314" applyFont="1" applyFill="1" applyAlignment="1">
      <alignment vertical="center"/>
    </xf>
    <xf numFmtId="41" fontId="6" fillId="0" borderId="0" xfId="314" applyNumberFormat="1" applyFont="1" applyFill="1" applyAlignment="1">
      <alignment horizontal="center" vertical="center" wrapText="1"/>
    </xf>
    <xf numFmtId="41" fontId="6" fillId="0" borderId="0" xfId="314" applyNumberFormat="1" applyFont="1" applyFill="1" applyAlignment="1">
      <alignment vertical="center" wrapText="1"/>
    </xf>
    <xf numFmtId="178" fontId="6" fillId="0" borderId="0" xfId="5" applyNumberFormat="1" applyFont="1" applyFill="1" applyBorder="1" applyAlignment="1">
      <alignment horizontal="right" vertical="center" wrapText="1"/>
    </xf>
    <xf numFmtId="43" fontId="6" fillId="0" borderId="0" xfId="3" applyFont="1" applyAlignment="1">
      <alignment vertical="center"/>
    </xf>
    <xf numFmtId="0" fontId="14" fillId="0" borderId="0" xfId="187" applyFont="1" applyAlignment="1"/>
    <xf numFmtId="41" fontId="2" fillId="2" borderId="1" xfId="314" applyNumberFormat="1" applyFont="1" applyFill="1" applyBorder="1" applyAlignment="1">
      <alignment horizontal="center" vertical="center" wrapText="1"/>
    </xf>
    <xf numFmtId="0" fontId="2" fillId="2" borderId="1" xfId="314" applyFont="1" applyFill="1" applyBorder="1" applyAlignment="1">
      <alignment horizontal="center" vertical="center" wrapText="1"/>
    </xf>
    <xf numFmtId="178" fontId="2" fillId="2" borderId="1" xfId="188" applyNumberFormat="1" applyFont="1" applyFill="1" applyBorder="1" applyAlignment="1">
      <alignment horizontal="center" vertical="center" wrapText="1"/>
    </xf>
    <xf numFmtId="191" fontId="2" fillId="2" borderId="1" xfId="314" applyNumberFormat="1" applyFont="1" applyFill="1" applyBorder="1" applyAlignment="1">
      <alignment horizontal="center" vertical="center" wrapText="1"/>
    </xf>
    <xf numFmtId="41" fontId="6" fillId="3" borderId="1" xfId="314" applyNumberFormat="1" applyFont="1" applyFill="1" applyBorder="1" applyAlignment="1">
      <alignment horizontal="center" vertical="center" wrapText="1"/>
    </xf>
    <xf numFmtId="41" fontId="6" fillId="3" borderId="7" xfId="314" applyNumberFormat="1" applyFont="1" applyFill="1" applyBorder="1" applyAlignment="1">
      <alignment horizontal="left" vertical="center" wrapText="1"/>
    </xf>
    <xf numFmtId="191" fontId="6" fillId="3" borderId="1" xfId="314" applyNumberFormat="1" applyFont="1" applyFill="1" applyBorder="1" applyAlignment="1">
      <alignment horizontal="right" vertical="center" wrapText="1"/>
    </xf>
    <xf numFmtId="180" fontId="6" fillId="3" borderId="1" xfId="3" applyNumberFormat="1" applyFont="1" applyFill="1" applyBorder="1" applyAlignment="1">
      <alignment horizontal="center" vertical="center" wrapText="1"/>
    </xf>
    <xf numFmtId="41" fontId="6" fillId="0" borderId="1" xfId="314" applyNumberFormat="1" applyFont="1" applyFill="1" applyBorder="1" applyAlignment="1">
      <alignment horizontal="center" vertical="center" wrapText="1"/>
    </xf>
    <xf numFmtId="0" fontId="6" fillId="0" borderId="1" xfId="187" applyFont="1" applyBorder="1" applyAlignment="1">
      <alignment horizontal="left" vertical="center"/>
    </xf>
    <xf numFmtId="180" fontId="6" fillId="0" borderId="1" xfId="314" applyNumberFormat="1" applyFont="1" applyFill="1" applyBorder="1" applyAlignment="1">
      <alignment horizontal="center" vertical="center" wrapText="1"/>
    </xf>
    <xf numFmtId="191" fontId="6" fillId="0" borderId="1" xfId="5" applyNumberFormat="1" applyFont="1" applyFill="1" applyBorder="1" applyAlignment="1">
      <alignment horizontal="right" vertical="center" wrapText="1"/>
    </xf>
    <xf numFmtId="0" fontId="6" fillId="5" borderId="1" xfId="314" applyFont="1" applyFill="1" applyBorder="1" applyAlignment="1">
      <alignment vertical="center"/>
    </xf>
    <xf numFmtId="184" fontId="6" fillId="3" borderId="1" xfId="314" applyNumberFormat="1" applyFont="1" applyFill="1" applyBorder="1" applyAlignment="1">
      <alignment horizontal="center" vertical="center" wrapText="1"/>
    </xf>
    <xf numFmtId="184" fontId="6" fillId="3" borderId="1" xfId="314" applyNumberFormat="1" applyFont="1" applyFill="1" applyBorder="1" applyAlignment="1">
      <alignment horizontal="left" vertical="center" wrapText="1"/>
    </xf>
    <xf numFmtId="180" fontId="6" fillId="3" borderId="1" xfId="3" applyNumberFormat="1" applyFont="1" applyFill="1" applyBorder="1" applyAlignment="1">
      <alignment horizontal="right" vertical="center" wrapText="1"/>
    </xf>
    <xf numFmtId="180" fontId="6" fillId="4" borderId="1" xfId="314" applyNumberFormat="1" applyFont="1" applyFill="1" applyBorder="1" applyAlignment="1">
      <alignment horizontal="center" vertical="center" wrapText="1"/>
    </xf>
    <xf numFmtId="180" fontId="6" fillId="0" borderId="1" xfId="3" applyNumberFormat="1" applyFont="1" applyFill="1" applyBorder="1" applyAlignment="1">
      <alignment horizontal="right" vertical="center" wrapText="1"/>
    </xf>
    <xf numFmtId="180" fontId="6" fillId="5" borderId="1" xfId="314" applyNumberFormat="1" applyFont="1" applyFill="1" applyBorder="1" applyAlignment="1">
      <alignment vertical="center"/>
    </xf>
    <xf numFmtId="43" fontId="6" fillId="4" borderId="1" xfId="3" applyFont="1" applyFill="1" applyBorder="1" applyAlignment="1">
      <alignment horizontal="center" vertical="center" wrapText="1"/>
    </xf>
    <xf numFmtId="180" fontId="6" fillId="5" borderId="1" xfId="3" applyNumberFormat="1" applyFont="1" applyFill="1" applyBorder="1" applyAlignment="1">
      <alignment vertical="center"/>
    </xf>
    <xf numFmtId="188" fontId="6" fillId="3" borderId="1" xfId="3" applyNumberFormat="1" applyFont="1" applyFill="1" applyBorder="1" applyAlignment="1">
      <alignment horizontal="right" vertical="center" wrapText="1"/>
    </xf>
    <xf numFmtId="43" fontId="6" fillId="3" borderId="1" xfId="3" applyFont="1" applyFill="1" applyBorder="1" applyAlignment="1">
      <alignment horizontal="center" vertical="center" wrapText="1"/>
    </xf>
    <xf numFmtId="188" fontId="6" fillId="0" borderId="1" xfId="3" applyNumberFormat="1" applyFont="1" applyFill="1" applyBorder="1" applyAlignment="1">
      <alignment horizontal="right" vertical="center" wrapText="1"/>
    </xf>
    <xf numFmtId="43" fontId="6" fillId="5" borderId="1" xfId="3" applyFont="1" applyFill="1" applyBorder="1" applyAlignment="1">
      <alignment vertical="center"/>
    </xf>
    <xf numFmtId="180" fontId="6" fillId="0" borderId="1" xfId="3" applyNumberFormat="1" applyFont="1" applyFill="1" applyBorder="1" applyAlignment="1">
      <alignment horizontal="right" vertical="center"/>
    </xf>
    <xf numFmtId="41" fontId="6" fillId="5" borderId="1" xfId="3" applyNumberFormat="1" applyFont="1" applyFill="1" applyBorder="1" applyAlignment="1">
      <alignment vertical="center"/>
    </xf>
    <xf numFmtId="9" fontId="6" fillId="3" borderId="1" xfId="3" applyNumberFormat="1" applyFont="1" applyFill="1" applyBorder="1" applyAlignment="1">
      <alignment horizontal="right" vertical="center" wrapText="1"/>
    </xf>
    <xf numFmtId="9" fontId="6" fillId="0" borderId="1" xfId="5" applyNumberFormat="1" applyFont="1" applyFill="1" applyBorder="1" applyAlignment="1">
      <alignment horizontal="right" vertical="center" wrapText="1"/>
    </xf>
    <xf numFmtId="9" fontId="6" fillId="3" borderId="1" xfId="314" applyNumberFormat="1" applyFont="1" applyFill="1" applyBorder="1" applyAlignment="1">
      <alignment horizontal="right" vertical="center" wrapText="1"/>
    </xf>
    <xf numFmtId="0" fontId="6" fillId="0" borderId="1" xfId="187" applyFont="1" applyBorder="1" applyAlignment="1">
      <alignment horizontal="left"/>
    </xf>
    <xf numFmtId="9" fontId="6" fillId="0" borderId="1" xfId="5" applyFont="1" applyFill="1" applyBorder="1" applyAlignment="1">
      <alignment horizontal="right" vertical="center" wrapText="1"/>
    </xf>
    <xf numFmtId="178" fontId="6" fillId="0" borderId="1" xfId="5" applyNumberFormat="1" applyFont="1" applyFill="1" applyBorder="1" applyAlignment="1">
      <alignment horizontal="right" vertical="center" wrapText="1"/>
    </xf>
    <xf numFmtId="43" fontId="5" fillId="3" borderId="1" xfId="3" applyFont="1" applyFill="1" applyBorder="1" applyAlignment="1">
      <alignment horizontal="center" vertical="center" wrapText="1"/>
    </xf>
    <xf numFmtId="184" fontId="6" fillId="4" borderId="1" xfId="314" applyNumberFormat="1" applyFont="1" applyFill="1" applyBorder="1" applyAlignment="1">
      <alignment horizontal="left" vertical="center" wrapText="1"/>
    </xf>
    <xf numFmtId="43" fontId="6" fillId="5" borderId="0" xfId="3" applyFont="1" applyFill="1" applyAlignment="1">
      <alignment vertical="center"/>
    </xf>
    <xf numFmtId="183" fontId="6" fillId="5" borderId="0" xfId="314" applyNumberFormat="1" applyFont="1" applyFill="1" applyAlignment="1">
      <alignment vertical="center"/>
    </xf>
    <xf numFmtId="43" fontId="6" fillId="0" borderId="1" xfId="3" applyFont="1" applyFill="1" applyBorder="1" applyAlignment="1">
      <alignment vertical="center"/>
    </xf>
    <xf numFmtId="180" fontId="6" fillId="0" borderId="1" xfId="314" applyNumberFormat="1" applyFont="1" applyBorder="1" applyAlignment="1">
      <alignment vertical="center"/>
    </xf>
    <xf numFmtId="180" fontId="6" fillId="0" borderId="0" xfId="314" applyNumberFormat="1" applyFont="1" applyAlignment="1">
      <alignment vertical="center"/>
    </xf>
    <xf numFmtId="180" fontId="6" fillId="0" borderId="1" xfId="3" applyNumberFormat="1" applyFont="1" applyBorder="1" applyAlignment="1">
      <alignment vertical="center"/>
    </xf>
    <xf numFmtId="43" fontId="6" fillId="0" borderId="1" xfId="3" applyFont="1" applyBorder="1" applyAlignment="1">
      <alignment vertical="center"/>
    </xf>
    <xf numFmtId="41" fontId="6" fillId="0" borderId="0" xfId="314" applyNumberFormat="1" applyFont="1" applyAlignment="1">
      <alignment vertical="center"/>
    </xf>
    <xf numFmtId="41" fontId="6" fillId="0" borderId="1" xfId="314" applyNumberFormat="1" applyFont="1" applyBorder="1" applyAlignment="1">
      <alignment vertical="center"/>
    </xf>
    <xf numFmtId="9" fontId="6" fillId="5" borderId="0" xfId="314" applyNumberFormat="1" applyFont="1" applyFill="1" applyAlignment="1">
      <alignment vertical="center"/>
    </xf>
    <xf numFmtId="43" fontId="6" fillId="0" borderId="0" xfId="314" applyNumberFormat="1" applyFont="1" applyAlignment="1">
      <alignment vertical="center"/>
    </xf>
    <xf numFmtId="43" fontId="6" fillId="0" borderId="1" xfId="3" applyFont="1" applyFill="1" applyBorder="1" applyAlignment="1">
      <alignment horizontal="right" vertical="center" wrapText="1"/>
    </xf>
    <xf numFmtId="43" fontId="6" fillId="0" borderId="1" xfId="314" applyNumberFormat="1" applyFont="1" applyFill="1" applyBorder="1" applyAlignment="1">
      <alignment horizontal="center" vertical="center" wrapText="1"/>
    </xf>
    <xf numFmtId="43" fontId="6" fillId="5" borderId="1" xfId="314" applyNumberFormat="1" applyFont="1" applyFill="1" applyBorder="1" applyAlignment="1">
      <alignment vertical="center"/>
    </xf>
    <xf numFmtId="41" fontId="6" fillId="3" borderId="1" xfId="314" applyNumberFormat="1" applyFont="1" applyFill="1" applyBorder="1" applyAlignment="1">
      <alignment horizontal="right" vertical="center" wrapText="1"/>
    </xf>
    <xf numFmtId="0" fontId="6" fillId="0" borderId="1" xfId="314" applyFont="1" applyBorder="1" applyAlignment="1">
      <alignment vertical="center"/>
    </xf>
    <xf numFmtId="43" fontId="6" fillId="0" borderId="1" xfId="314" applyNumberFormat="1" applyFont="1" applyBorder="1" applyAlignment="1">
      <alignment vertical="center"/>
    </xf>
    <xf numFmtId="184" fontId="6" fillId="0" borderId="1" xfId="314" applyNumberFormat="1" applyFont="1" applyFill="1" applyBorder="1" applyAlignment="1">
      <alignment horizontal="center" vertical="center" wrapText="1"/>
    </xf>
    <xf numFmtId="184" fontId="5" fillId="3" borderId="1" xfId="314" applyNumberFormat="1" applyFont="1" applyFill="1" applyBorder="1" applyAlignment="1">
      <alignment horizontal="center" vertical="center" wrapText="1"/>
    </xf>
    <xf numFmtId="184" fontId="5" fillId="3" borderId="1" xfId="314" applyNumberFormat="1" applyFont="1" applyFill="1" applyBorder="1" applyAlignment="1">
      <alignment horizontal="left" vertical="center" wrapText="1"/>
    </xf>
    <xf numFmtId="184" fontId="6" fillId="8" borderId="1" xfId="314" applyNumberFormat="1" applyFont="1" applyFill="1" applyBorder="1" applyAlignment="1">
      <alignment horizontal="left" vertical="center" wrapText="1"/>
    </xf>
    <xf numFmtId="184" fontId="6" fillId="8" borderId="1" xfId="314" applyNumberFormat="1" applyFont="1" applyFill="1" applyBorder="1" applyAlignment="1">
      <alignment horizontal="center" vertical="center" wrapText="1"/>
    </xf>
    <xf numFmtId="43" fontId="6" fillId="8" borderId="1" xfId="3" applyNumberFormat="1" applyFont="1" applyFill="1" applyBorder="1" applyAlignment="1">
      <alignment horizontal="right" vertical="center" wrapText="1"/>
    </xf>
    <xf numFmtId="43" fontId="6" fillId="0" borderId="1" xfId="3" applyNumberFormat="1" applyFont="1" applyFill="1" applyBorder="1" applyAlignment="1">
      <alignment horizontal="right" vertical="center" wrapText="1"/>
    </xf>
    <xf numFmtId="41" fontId="6" fillId="5" borderId="1" xfId="314" applyNumberFormat="1" applyFont="1" applyFill="1" applyBorder="1" applyAlignment="1">
      <alignment horizontal="center" vertical="center" wrapText="1"/>
    </xf>
    <xf numFmtId="184" fontId="6" fillId="5" borderId="1" xfId="314" applyNumberFormat="1" applyFont="1" applyFill="1" applyBorder="1" applyAlignment="1">
      <alignment horizontal="left" vertical="center" wrapText="1"/>
    </xf>
    <xf numFmtId="184" fontId="6" fillId="5" borderId="1" xfId="314" applyNumberFormat="1" applyFont="1" applyFill="1" applyBorder="1" applyAlignment="1">
      <alignment horizontal="center" vertical="center" wrapText="1"/>
    </xf>
    <xf numFmtId="186" fontId="6" fillId="5" borderId="1" xfId="5" applyNumberFormat="1" applyFont="1" applyFill="1" applyBorder="1" applyAlignment="1">
      <alignment horizontal="right" vertical="center" wrapText="1"/>
    </xf>
    <xf numFmtId="0" fontId="15" fillId="0" borderId="1" xfId="188" applyFont="1" applyBorder="1" applyAlignment="1">
      <alignment horizontal="justify" vertical="center" wrapText="1"/>
    </xf>
    <xf numFmtId="180" fontId="6" fillId="5" borderId="1" xfId="3" applyNumberFormat="1" applyFont="1" applyFill="1" applyBorder="1" applyAlignment="1">
      <alignment horizontal="right" vertical="center" wrapText="1"/>
    </xf>
    <xf numFmtId="41" fontId="5" fillId="3" borderId="1" xfId="314" applyNumberFormat="1" applyFont="1" applyFill="1" applyBorder="1" applyAlignment="1">
      <alignment horizontal="center" vertical="center" wrapText="1"/>
    </xf>
    <xf numFmtId="41" fontId="6" fillId="3" borderId="8" xfId="314" applyNumberFormat="1" applyFont="1" applyFill="1" applyBorder="1" applyAlignment="1">
      <alignment horizontal="center" vertical="center" wrapText="1"/>
    </xf>
    <xf numFmtId="180" fontId="6" fillId="0" borderId="23" xfId="314" applyNumberFormat="1" applyFont="1" applyFill="1" applyBorder="1" applyAlignment="1">
      <alignment horizontal="center" vertical="center" wrapText="1"/>
    </xf>
    <xf numFmtId="0" fontId="14" fillId="0" borderId="1" xfId="187" applyFont="1" applyBorder="1" applyAlignment="1"/>
    <xf numFmtId="41" fontId="6" fillId="3" borderId="24" xfId="314" applyNumberFormat="1" applyFont="1" applyFill="1" applyBorder="1" applyAlignment="1">
      <alignment horizontal="center" vertical="center" wrapText="1"/>
    </xf>
    <xf numFmtId="41" fontId="6" fillId="5" borderId="0" xfId="314" applyNumberFormat="1" applyFont="1" applyFill="1" applyAlignment="1">
      <alignment horizontal="center" vertical="center" wrapText="1"/>
    </xf>
    <xf numFmtId="178" fontId="6" fillId="5" borderId="0" xfId="5" applyNumberFormat="1" applyFont="1" applyFill="1" applyBorder="1" applyAlignment="1">
      <alignment horizontal="right" vertical="center" wrapText="1"/>
    </xf>
    <xf numFmtId="41" fontId="6" fillId="5" borderId="0" xfId="314" applyNumberFormat="1" applyFont="1" applyFill="1" applyAlignment="1">
      <alignment vertical="center" wrapText="1"/>
    </xf>
    <xf numFmtId="41" fontId="5" fillId="5" borderId="0" xfId="314" applyNumberFormat="1" applyFont="1" applyFill="1" applyAlignment="1">
      <alignment vertical="center"/>
    </xf>
    <xf numFmtId="180" fontId="6" fillId="5" borderId="7" xfId="3" applyNumberFormat="1" applyFont="1" applyFill="1" applyBorder="1" applyAlignment="1">
      <alignment horizontal="right" vertical="center" wrapText="1"/>
    </xf>
    <xf numFmtId="43" fontId="14" fillId="0" borderId="0" xfId="3" applyFont="1" applyAlignment="1"/>
    <xf numFmtId="41" fontId="46" fillId="5" borderId="1" xfId="314" applyNumberFormat="1" applyFont="1" applyFill="1" applyBorder="1" applyAlignment="1">
      <alignment horizontal="center" vertical="center"/>
    </xf>
    <xf numFmtId="41" fontId="46" fillId="0" borderId="1" xfId="5" applyNumberFormat="1" applyFont="1" applyFill="1" applyBorder="1" applyAlignment="1">
      <alignment horizontal="center" vertical="center" wrapText="1"/>
    </xf>
    <xf numFmtId="41" fontId="47" fillId="31" borderId="1" xfId="314" applyNumberFormat="1" applyFont="1" applyFill="1" applyBorder="1" applyAlignment="1">
      <alignment horizontal="center" vertical="center"/>
    </xf>
    <xf numFmtId="1" fontId="48" fillId="0" borderId="1" xfId="314" applyNumberFormat="1" applyFont="1" applyFill="1" applyBorder="1" applyAlignment="1">
      <alignment vertical="center"/>
    </xf>
    <xf numFmtId="180" fontId="6" fillId="31" borderId="1" xfId="314" applyNumberFormat="1" applyFont="1" applyFill="1" applyBorder="1" applyAlignment="1">
      <alignment horizontal="center" vertical="center" wrapText="1"/>
    </xf>
    <xf numFmtId="43" fontId="6" fillId="31" borderId="1" xfId="3" applyFont="1" applyFill="1" applyBorder="1" applyAlignment="1">
      <alignment vertical="center"/>
    </xf>
    <xf numFmtId="43" fontId="6" fillId="31" borderId="1" xfId="3" applyFont="1" applyFill="1" applyBorder="1" applyAlignment="1">
      <alignment horizontal="center" vertical="center" wrapText="1"/>
    </xf>
    <xf numFmtId="0" fontId="6" fillId="31" borderId="1" xfId="187" applyFont="1" applyFill="1" applyBorder="1" applyAlignment="1">
      <alignment horizontal="left" vertical="center"/>
    </xf>
    <xf numFmtId="43" fontId="6" fillId="31" borderId="1" xfId="3" applyFont="1" applyFill="1" applyBorder="1" applyAlignment="1">
      <alignment horizontal="right" vertical="center" wrapText="1"/>
    </xf>
    <xf numFmtId="180" fontId="6" fillId="31" borderId="1" xfId="3" applyNumberFormat="1" applyFont="1" applyFill="1" applyBorder="1" applyAlignment="1">
      <alignment vertical="center"/>
    </xf>
    <xf numFmtId="2" fontId="48" fillId="0" borderId="1" xfId="314" applyNumberFormat="1" applyFont="1" applyFill="1" applyBorder="1" applyAlignment="1">
      <alignment vertical="center"/>
    </xf>
    <xf numFmtId="184" fontId="46" fillId="3" borderId="1" xfId="314" applyNumberFormat="1" applyFont="1" applyFill="1" applyBorder="1" applyAlignment="1">
      <alignment horizontal="center" vertical="center" wrapText="1"/>
    </xf>
    <xf numFmtId="43" fontId="6" fillId="5" borderId="0" xfId="3" applyNumberFormat="1" applyFont="1" applyFill="1" applyAlignment="1">
      <alignment vertical="center"/>
    </xf>
    <xf numFmtId="192" fontId="6" fillId="5" borderId="0" xfId="3" applyNumberFormat="1" applyFont="1" applyFill="1" applyAlignment="1">
      <alignment vertical="center"/>
    </xf>
    <xf numFmtId="0" fontId="6" fillId="0" borderId="1" xfId="3" applyNumberFormat="1" applyFont="1" applyFill="1" applyBorder="1" applyAlignment="1">
      <alignment horizontal="right" vertical="center" wrapText="1"/>
    </xf>
    <xf numFmtId="41" fontId="48" fillId="32" borderId="0" xfId="314" applyNumberFormat="1" applyFont="1" applyFill="1" applyAlignment="1">
      <alignment vertical="center" wrapText="1"/>
    </xf>
    <xf numFmtId="41" fontId="5" fillId="32" borderId="0" xfId="314" applyNumberFormat="1" applyFont="1" applyFill="1" applyAlignment="1">
      <alignment horizontal="center" vertical="center" wrapText="1"/>
    </xf>
    <xf numFmtId="193" fontId="6" fillId="3" borderId="1" xfId="314" applyNumberFormat="1" applyFont="1" applyFill="1" applyBorder="1" applyAlignment="1">
      <alignment horizontal="center" vertical="center" wrapText="1"/>
    </xf>
    <xf numFmtId="43" fontId="6" fillId="0" borderId="0" xfId="0" applyNumberFormat="1" applyFont="1" applyAlignment="1"/>
    <xf numFmtId="0" fontId="48" fillId="0" borderId="0" xfId="0" applyFont="1" applyAlignment="1">
      <alignment vertical="center"/>
    </xf>
    <xf numFmtId="0" fontId="48" fillId="0" borderId="0" xfId="0" applyFont="1" applyAlignment="1"/>
    <xf numFmtId="0" fontId="48" fillId="0" borderId="1" xfId="0" applyFont="1" applyFill="1" applyBorder="1" applyAlignment="1">
      <alignment horizontal="left" vertical="center" wrapText="1" indent="2"/>
    </xf>
    <xf numFmtId="186" fontId="6" fillId="0" borderId="0" xfId="0" applyNumberFormat="1" applyFont="1" applyAlignment="1"/>
    <xf numFmtId="43" fontId="6" fillId="3" borderId="1" xfId="3" applyNumberFormat="1" applyFont="1" applyFill="1" applyBorder="1" applyAlignment="1">
      <alignment horizontal="right" vertical="center" wrapText="1"/>
    </xf>
    <xf numFmtId="43" fontId="6" fillId="5" borderId="1" xfId="3" applyNumberFormat="1" applyFont="1" applyFill="1" applyBorder="1" applyAlignment="1">
      <alignment vertical="center"/>
    </xf>
    <xf numFmtId="0" fontId="48" fillId="0" borderId="1" xfId="77" applyFont="1" applyFill="1" applyBorder="1" applyAlignment="1">
      <alignment horizontal="left" vertical="center" wrapText="1" indent="1"/>
    </xf>
    <xf numFmtId="41" fontId="5" fillId="0" borderId="0" xfId="0" applyNumberFormat="1" applyFont="1" applyFill="1" applyAlignment="1">
      <alignment vertical="center" wrapText="1"/>
    </xf>
    <xf numFmtId="186" fontId="5" fillId="0" borderId="0" xfId="0" applyNumberFormat="1" applyFont="1" applyAlignment="1">
      <alignment vertical="center" wrapText="1"/>
    </xf>
    <xf numFmtId="43" fontId="14" fillId="0" borderId="0" xfId="187" applyNumberFormat="1" applyFont="1" applyAlignment="1"/>
    <xf numFmtId="180" fontId="6" fillId="5" borderId="0" xfId="314" applyNumberFormat="1" applyFont="1" applyFill="1" applyAlignment="1">
      <alignment vertical="center"/>
    </xf>
    <xf numFmtId="43" fontId="6" fillId="0" borderId="0" xfId="314" applyNumberFormat="1" applyFont="1" applyFill="1" applyAlignment="1">
      <alignment vertical="center"/>
    </xf>
    <xf numFmtId="180" fontId="6" fillId="5" borderId="0" xfId="3" applyNumberFormat="1" applyFont="1" applyFill="1" applyAlignment="1">
      <alignment vertical="center"/>
    </xf>
    <xf numFmtId="196" fontId="6" fillId="0" borderId="0" xfId="314" applyNumberFormat="1" applyFont="1" applyAlignment="1">
      <alignment vertical="center"/>
    </xf>
    <xf numFmtId="197" fontId="6" fillId="0" borderId="1" xfId="314" applyNumberFormat="1" applyFont="1" applyFill="1" applyBorder="1" applyAlignment="1">
      <alignment horizontal="center" vertical="center" wrapText="1"/>
    </xf>
    <xf numFmtId="2" fontId="14" fillId="0" borderId="0" xfId="187" applyNumberFormat="1" applyFont="1" applyAlignment="1"/>
    <xf numFmtId="43" fontId="6" fillId="5" borderId="1" xfId="3" applyNumberFormat="1" applyFont="1" applyFill="1" applyBorder="1" applyAlignment="1">
      <alignment horizontal="right" vertical="center" wrapText="1"/>
    </xf>
    <xf numFmtId="184" fontId="6" fillId="0" borderId="1" xfId="314" applyNumberFormat="1" applyFont="1" applyFill="1" applyBorder="1" applyAlignment="1">
      <alignment horizontal="right" vertical="center" wrapText="1"/>
    </xf>
    <xf numFmtId="184" fontId="6" fillId="0" borderId="1" xfId="5" applyNumberFormat="1" applyFont="1" applyFill="1" applyBorder="1" applyAlignment="1">
      <alignment horizontal="right" vertical="center" wrapText="1"/>
    </xf>
    <xf numFmtId="184" fontId="6" fillId="31" borderId="1" xfId="3" applyNumberFormat="1" applyFont="1" applyFill="1" applyBorder="1" applyAlignment="1">
      <alignment vertical="center"/>
    </xf>
    <xf numFmtId="194" fontId="6" fillId="8" borderId="1" xfId="3" applyNumberFormat="1" applyFont="1" applyFill="1" applyBorder="1" applyAlignment="1">
      <alignment horizontal="right" vertical="center" wrapText="1"/>
    </xf>
    <xf numFmtId="194" fontId="6" fillId="0" borderId="1" xfId="3" applyNumberFormat="1" applyFont="1" applyFill="1" applyBorder="1" applyAlignment="1">
      <alignment horizontal="right" vertical="center" wrapText="1"/>
    </xf>
    <xf numFmtId="180" fontId="5" fillId="33" borderId="0" xfId="0" applyNumberFormat="1" applyFont="1" applyFill="1" applyAlignment="1">
      <alignment vertical="center" wrapText="1"/>
    </xf>
    <xf numFmtId="1" fontId="48" fillId="33" borderId="1" xfId="314" applyNumberFormat="1" applyFont="1" applyFill="1" applyBorder="1" applyAlignment="1">
      <alignment vertical="center"/>
    </xf>
    <xf numFmtId="2" fontId="48" fillId="33" borderId="1" xfId="314" applyNumberFormat="1" applyFont="1" applyFill="1" applyBorder="1" applyAlignment="1">
      <alignment vertical="center"/>
    </xf>
    <xf numFmtId="191" fontId="6" fillId="0" borderId="0" xfId="314" applyNumberFormat="1" applyFont="1" applyAlignment="1">
      <alignment vertical="center"/>
    </xf>
    <xf numFmtId="198" fontId="6" fillId="5" borderId="0" xfId="3" applyNumberFormat="1" applyFont="1" applyFill="1" applyAlignment="1">
      <alignment vertical="center"/>
    </xf>
    <xf numFmtId="184" fontId="6" fillId="7" borderId="23" xfId="314" applyNumberFormat="1" applyFont="1" applyFill="1" applyBorder="1" applyAlignment="1">
      <alignment horizontal="center" vertical="center" wrapText="1"/>
    </xf>
    <xf numFmtId="43" fontId="6" fillId="5" borderId="23" xfId="3" applyFont="1" applyFill="1" applyBorder="1" applyAlignment="1">
      <alignment vertical="center"/>
    </xf>
    <xf numFmtId="180" fontId="6" fillId="34" borderId="1" xfId="314" applyNumberFormat="1" applyFont="1" applyFill="1" applyBorder="1" applyAlignment="1">
      <alignment vertical="center"/>
    </xf>
    <xf numFmtId="184" fontId="46" fillId="34" borderId="1" xfId="314" applyNumberFormat="1" applyFont="1" applyFill="1" applyBorder="1" applyAlignment="1">
      <alignment horizontal="center" vertical="center" wrapText="1"/>
    </xf>
    <xf numFmtId="43" fontId="6" fillId="34" borderId="1" xfId="3" applyFont="1" applyFill="1" applyBorder="1" applyAlignment="1">
      <alignment vertical="center"/>
    </xf>
    <xf numFmtId="180" fontId="6" fillId="34" borderId="1" xfId="3" applyNumberFormat="1" applyFont="1" applyFill="1" applyBorder="1" applyAlignment="1">
      <alignment horizontal="right" vertical="center" wrapText="1"/>
    </xf>
    <xf numFmtId="43" fontId="6" fillId="34" borderId="1" xfId="314" applyNumberFormat="1" applyFont="1" applyFill="1" applyBorder="1" applyAlignment="1">
      <alignment vertical="center"/>
    </xf>
    <xf numFmtId="9" fontId="6" fillId="34" borderId="1" xfId="3" applyNumberFormat="1" applyFont="1" applyFill="1" applyBorder="1" applyAlignment="1">
      <alignment horizontal="right" vertical="center" wrapText="1"/>
    </xf>
    <xf numFmtId="9" fontId="6" fillId="34" borderId="1" xfId="5" applyNumberFormat="1" applyFont="1" applyFill="1" applyBorder="1" applyAlignment="1">
      <alignment horizontal="right" vertical="center" wrapText="1"/>
    </xf>
    <xf numFmtId="9" fontId="6" fillId="34" borderId="1" xfId="314" applyNumberFormat="1" applyFont="1" applyFill="1" applyBorder="1" applyAlignment="1">
      <alignment horizontal="right" vertical="center" wrapText="1"/>
    </xf>
    <xf numFmtId="9" fontId="6" fillId="34" borderId="1" xfId="5" applyFont="1" applyFill="1" applyBorder="1" applyAlignment="1">
      <alignment horizontal="right" vertical="center" wrapText="1"/>
    </xf>
    <xf numFmtId="184" fontId="6" fillId="34" borderId="1" xfId="314" applyNumberFormat="1" applyFont="1" applyFill="1" applyBorder="1" applyAlignment="1">
      <alignment horizontal="center" vertical="center" wrapText="1"/>
    </xf>
    <xf numFmtId="43" fontId="6" fillId="34" borderId="1" xfId="3" applyFont="1" applyFill="1" applyBorder="1" applyAlignment="1">
      <alignment horizontal="right" vertical="center" wrapText="1"/>
    </xf>
    <xf numFmtId="180" fontId="6" fillId="34" borderId="1" xfId="3" applyNumberFormat="1" applyFont="1" applyFill="1" applyBorder="1" applyAlignment="1">
      <alignment horizontal="center" vertical="center" wrapText="1"/>
    </xf>
    <xf numFmtId="193" fontId="6" fillId="34" borderId="1" xfId="314" applyNumberFormat="1" applyFont="1" applyFill="1" applyBorder="1" applyAlignment="1">
      <alignment horizontal="center" vertical="center" wrapText="1"/>
    </xf>
    <xf numFmtId="0" fontId="6" fillId="34" borderId="1" xfId="314" applyFont="1" applyFill="1" applyBorder="1" applyAlignment="1">
      <alignment vertical="center"/>
    </xf>
    <xf numFmtId="191" fontId="6" fillId="34" borderId="1" xfId="5" applyNumberFormat="1" applyFont="1" applyFill="1" applyBorder="1" applyAlignment="1">
      <alignment horizontal="right" vertical="center" wrapText="1"/>
    </xf>
    <xf numFmtId="43" fontId="6" fillId="34" borderId="1" xfId="3" applyNumberFormat="1" applyFont="1" applyFill="1" applyBorder="1" applyAlignment="1">
      <alignment horizontal="right" vertical="center" wrapText="1"/>
    </xf>
    <xf numFmtId="186" fontId="6" fillId="34" borderId="1" xfId="5" applyNumberFormat="1" applyFont="1" applyFill="1" applyBorder="1" applyAlignment="1">
      <alignment horizontal="right" vertical="center" wrapText="1"/>
    </xf>
    <xf numFmtId="180" fontId="5" fillId="34" borderId="1" xfId="314" applyNumberFormat="1" applyFont="1" applyFill="1" applyBorder="1" applyAlignment="1">
      <alignment vertical="center"/>
    </xf>
    <xf numFmtId="41" fontId="5" fillId="34" borderId="1" xfId="314" applyNumberFormat="1" applyFont="1" applyFill="1" applyBorder="1" applyAlignment="1">
      <alignment vertical="center"/>
    </xf>
    <xf numFmtId="199" fontId="6" fillId="0" borderId="1" xfId="314" applyNumberFormat="1" applyFont="1" applyFill="1" applyBorder="1" applyAlignment="1">
      <alignment horizontal="center" vertical="center" wrapText="1"/>
    </xf>
    <xf numFmtId="0" fontId="43" fillId="0" borderId="0" xfId="0" applyFont="1" applyAlignment="1"/>
    <xf numFmtId="186" fontId="5" fillId="31" borderId="1" xfId="0" applyNumberFormat="1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86" fontId="5" fillId="0" borderId="1" xfId="0" applyNumberFormat="1" applyFont="1" applyBorder="1" applyAlignment="1">
      <alignment horizontal="center" vertical="center"/>
    </xf>
    <xf numFmtId="186" fontId="0" fillId="0" borderId="0" xfId="0" applyNumberFormat="1" applyAlignment="1"/>
    <xf numFmtId="0" fontId="43" fillId="0" borderId="0" xfId="0" applyFont="1" applyFill="1" applyBorder="1" applyAlignment="1"/>
    <xf numFmtId="1" fontId="48" fillId="35" borderId="1" xfId="314" applyNumberFormat="1" applyFont="1" applyFill="1" applyBorder="1" applyAlignment="1">
      <alignment vertical="center"/>
    </xf>
    <xf numFmtId="2" fontId="48" fillId="35" borderId="1" xfId="314" applyNumberFormat="1" applyFont="1" applyFill="1" applyBorder="1" applyAlignment="1">
      <alignment vertical="center"/>
    </xf>
    <xf numFmtId="1" fontId="52" fillId="33" borderId="1" xfId="314" applyNumberFormat="1" applyFont="1" applyFill="1" applyBorder="1" applyAlignment="1">
      <alignment vertical="center"/>
    </xf>
    <xf numFmtId="184" fontId="5" fillId="5" borderId="0" xfId="314" applyNumberFormat="1" applyFont="1" applyFill="1" applyAlignment="1">
      <alignment vertical="center"/>
    </xf>
    <xf numFmtId="2" fontId="5" fillId="0" borderId="1" xfId="314" applyNumberFormat="1" applyFont="1" applyFill="1" applyBorder="1" applyAlignment="1">
      <alignment vertical="center"/>
    </xf>
    <xf numFmtId="0" fontId="13" fillId="0" borderId="2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0" borderId="19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0" fillId="0" borderId="10" xfId="314" applyFont="1" applyBorder="1" applyAlignment="1">
      <alignment horizontal="center" vertical="center" wrapText="1"/>
    </xf>
    <xf numFmtId="0" fontId="10" fillId="0" borderId="11" xfId="314" applyFont="1" applyBorder="1" applyAlignment="1">
      <alignment horizontal="center" vertical="center" wrapText="1"/>
    </xf>
    <xf numFmtId="0" fontId="10" fillId="0" borderId="12" xfId="314" applyFont="1" applyBorder="1" applyAlignment="1">
      <alignment horizontal="center" vertical="center" wrapText="1"/>
    </xf>
    <xf numFmtId="0" fontId="5" fillId="0" borderId="15" xfId="314" applyFont="1" applyBorder="1" applyAlignment="1">
      <alignment horizontal="center" vertical="center"/>
    </xf>
    <xf numFmtId="0" fontId="5" fillId="0" borderId="16" xfId="314" applyFont="1" applyBorder="1" applyAlignment="1">
      <alignment horizontal="center" vertical="center"/>
    </xf>
    <xf numFmtId="0" fontId="5" fillId="0" borderId="17" xfId="314" applyFont="1" applyBorder="1" applyAlignment="1">
      <alignment horizontal="center" vertical="center"/>
    </xf>
    <xf numFmtId="0" fontId="1" fillId="2" borderId="2" xfId="188" applyFont="1" applyFill="1" applyBorder="1" applyAlignment="1">
      <alignment horizontal="center" vertical="center" wrapText="1"/>
    </xf>
    <xf numFmtId="0" fontId="1" fillId="2" borderId="5" xfId="188" applyFont="1" applyFill="1" applyBorder="1" applyAlignment="1">
      <alignment horizontal="center" vertical="center" wrapText="1"/>
    </xf>
    <xf numFmtId="0" fontId="1" fillId="2" borderId="3" xfId="246" applyNumberFormat="1" applyFont="1" applyFill="1" applyBorder="1" applyAlignment="1">
      <alignment horizontal="center" vertical="center" wrapText="1"/>
    </xf>
    <xf numFmtId="0" fontId="1" fillId="2" borderId="6" xfId="246" applyNumberFormat="1" applyFont="1" applyFill="1" applyBorder="1" applyAlignment="1">
      <alignment horizontal="center" vertical="center" wrapText="1"/>
    </xf>
    <xf numFmtId="41" fontId="5" fillId="5" borderId="0" xfId="314" applyNumberFormat="1" applyFont="1" applyFill="1" applyAlignment="1">
      <alignment horizontal="center" vertical="center" wrapText="1"/>
    </xf>
  </cellXfs>
  <cellStyles count="316">
    <cellStyle name="_ET_STYLE_NoName_00_" xfId="11"/>
    <cellStyle name="_ET_STYLE_NoName_00__Sheet1_1" xfId="14"/>
    <cellStyle name="_ET_STYLE_NoName_00__Sheet1_10" xfId="12"/>
    <cellStyle name="_ET_STYLE_NoName_00__Sheet1_11" xfId="16"/>
    <cellStyle name="_ET_STYLE_NoName_00__Sheet1_12" xfId="17"/>
    <cellStyle name="_ET_STYLE_NoName_00__Sheet1_13" xfId="18"/>
    <cellStyle name="_ET_STYLE_NoName_00__Sheet1_14" xfId="19"/>
    <cellStyle name="_ET_STYLE_NoName_00__Sheet1_15" xfId="20"/>
    <cellStyle name="_ET_STYLE_NoName_00__Sheet1_16" xfId="23"/>
    <cellStyle name="_ET_STYLE_NoName_00__Sheet1_2" xfId="27"/>
    <cellStyle name="_ET_STYLE_NoName_00__Sheet1_3" xfId="29"/>
    <cellStyle name="_ET_STYLE_NoName_00__Sheet1_4" xfId="33"/>
    <cellStyle name="_ET_STYLE_NoName_00__Sheet1_5" xfId="38"/>
    <cellStyle name="_ET_STYLE_NoName_00__Sheet1_6" xfId="42"/>
    <cellStyle name="20% - 强调文字颜色 1" xfId="25"/>
    <cellStyle name="20% - 强调文字颜色 1 2" xfId="45"/>
    <cellStyle name="20% - 强调文字颜色 1 3" xfId="48"/>
    <cellStyle name="20% - 强调文字颜色 1 4" xfId="51"/>
    <cellStyle name="20% - 强调文字颜色 1 5" xfId="55"/>
    <cellStyle name="20% - 强调文字颜色 2" xfId="58"/>
    <cellStyle name="20% - 强调文字颜色 2 2" xfId="28"/>
    <cellStyle name="20% - 强调文字颜色 2 3" xfId="30"/>
    <cellStyle name="20% - 强调文字颜色 2 4" xfId="34"/>
    <cellStyle name="20% - 强调文字颜色 2 5" xfId="39"/>
    <cellStyle name="20% - 强调文字颜色 3" xfId="47"/>
    <cellStyle name="20% - 强调文字颜色 3 2" xfId="61"/>
    <cellStyle name="20% - 强调文字颜色 3 3" xfId="63"/>
    <cellStyle name="20% - 强调文字颜色 3 4" xfId="66"/>
    <cellStyle name="20% - 强调文字颜色 3 5" xfId="8"/>
    <cellStyle name="20% - 强调文字颜色 4" xfId="50"/>
    <cellStyle name="20% - 强调文字颜色 4 2" xfId="68"/>
    <cellStyle name="20% - 强调文字颜色 4 3" xfId="71"/>
    <cellStyle name="20% - 强调文字颜色 4 4" xfId="74"/>
    <cellStyle name="20% - 强调文字颜色 4 5" xfId="79"/>
    <cellStyle name="20% - 强调文字颜色 5" xfId="53"/>
    <cellStyle name="20% - 强调文字颜色 5 2" xfId="83"/>
    <cellStyle name="20% - 强调文字颜色 5 3" xfId="86"/>
    <cellStyle name="20% - 强调文字颜色 5 4" xfId="87"/>
    <cellStyle name="20% - 强调文字颜色 6" xfId="56"/>
    <cellStyle name="20% - 强调文字颜色 6 2" xfId="21"/>
    <cellStyle name="20% - 强调文字颜色 6 3" xfId="26"/>
    <cellStyle name="20% - 强调文字颜色 6 4" xfId="60"/>
    <cellStyle name="40% - 强调文字颜色 1" xfId="89"/>
    <cellStyle name="40% - 强调文字颜色 1 2" xfId="31"/>
    <cellStyle name="40% - 强调文字颜色 1 3" xfId="36"/>
    <cellStyle name="40% - 强调文字颜色 1 4" xfId="40"/>
    <cellStyle name="40% - 强调文字颜色 1 5" xfId="43"/>
    <cellStyle name="40% - 强调文字颜色 2" xfId="90"/>
    <cellStyle name="40% - 强调文字颜色 2 2" xfId="62"/>
    <cellStyle name="40% - 强调文字颜色 2 3" xfId="65"/>
    <cellStyle name="40% - 强调文字颜色 2 4" xfId="9"/>
    <cellStyle name="40% - 强调文字颜色 2 5" xfId="91"/>
    <cellStyle name="40% - 强调文字颜色 3" xfId="92"/>
    <cellStyle name="40% - 强调文字颜色 3 2" xfId="70"/>
    <cellStyle name="40% - 强调文字颜色 3 3" xfId="73"/>
    <cellStyle name="40% - 强调文字颜色 3 4" xfId="78"/>
    <cellStyle name="40% - 强调文字颜色 3 5" xfId="94"/>
    <cellStyle name="40% - 强调文字颜色 4" xfId="95"/>
    <cellStyle name="40% - 强调文字颜色 4 2" xfId="84"/>
    <cellStyle name="40% - 强调文字颜色 4 3" xfId="97"/>
    <cellStyle name="40% - 强调文字颜色 4 4" xfId="98"/>
    <cellStyle name="40% - 强调文字颜色 4 5" xfId="99"/>
    <cellStyle name="40% - 强调文字颜色 5" xfId="100"/>
    <cellStyle name="40% - 强调文字颜色 5 2" xfId="22"/>
    <cellStyle name="40% - 强调文字颜色 5 3" xfId="102"/>
    <cellStyle name="40% - 强调文字颜色 5 4" xfId="103"/>
    <cellStyle name="40% - 强调文字颜色 6" xfId="104"/>
    <cellStyle name="40% - 强调文字颜色 6 2" xfId="107"/>
    <cellStyle name="40% - 强调文字颜色 6 3" xfId="108"/>
    <cellStyle name="40% - 强调文字颜色 6 4" xfId="109"/>
    <cellStyle name="40% - 强调文字颜色 6 5" xfId="110"/>
    <cellStyle name="60% - 强调文字颜色 1" xfId="112"/>
    <cellStyle name="60% - 强调文字颜色 1 2" xfId="67"/>
    <cellStyle name="60% - 强调文字颜色 1 3" xfId="7"/>
    <cellStyle name="60% - 强调文字颜色 1 4" xfId="113"/>
    <cellStyle name="60% - 强调文字颜色 1 5" xfId="114"/>
    <cellStyle name="60% - 强调文字颜色 2" xfId="115"/>
    <cellStyle name="60% - 强调文字颜色 2 2" xfId="75"/>
    <cellStyle name="60% - 强调文字颜色 2 3" xfId="80"/>
    <cellStyle name="60% - 强调文字颜色 2 4" xfId="116"/>
    <cellStyle name="60% - 强调文字颜色 2 5" xfId="118"/>
    <cellStyle name="60% - 强调文字颜色 3" xfId="120"/>
    <cellStyle name="60% - 强调文字颜色 3 2" xfId="88"/>
    <cellStyle name="60% - 强调文字颜色 3 3" xfId="121"/>
    <cellStyle name="60% - 强调文字颜色 3 4" xfId="122"/>
    <cellStyle name="60% - 强调文字颜色 3 5" xfId="123"/>
    <cellStyle name="60% - 强调文字颜色 4" xfId="124"/>
    <cellStyle name="60% - 强调文字颜色 4 2" xfId="59"/>
    <cellStyle name="60% - 强调文字颜色 4 3" xfId="125"/>
    <cellStyle name="60% - 强调文字颜色 4 4" xfId="126"/>
    <cellStyle name="60% - 强调文字颜色 4 5" xfId="127"/>
    <cellStyle name="60% - 强调文字颜色 5" xfId="128"/>
    <cellStyle name="60% - 强调文字颜色 5 2" xfId="129"/>
    <cellStyle name="60% - 强调文字颜色 5 3" xfId="130"/>
    <cellStyle name="60% - 强调文字颜色 5 4" xfId="131"/>
    <cellStyle name="60% - 强调文字颜色 5 5" xfId="132"/>
    <cellStyle name="60% - 强调文字颜色 6" xfId="133"/>
    <cellStyle name="60% - 强调文字颜色 6 2" xfId="134"/>
    <cellStyle name="60% - 强调文字颜色 6 3" xfId="135"/>
    <cellStyle name="60% - 强调文字颜色 6 4" xfId="136"/>
    <cellStyle name="60% - 强调文字颜色 6 5" xfId="137"/>
    <cellStyle name="Normal 2" xfId="138"/>
    <cellStyle name="百分比" xfId="5" builtinId="5"/>
    <cellStyle name="百分比 2" xfId="139"/>
    <cellStyle name="百分比 2 2" xfId="141"/>
    <cellStyle name="百分比 2 2 2" xfId="142"/>
    <cellStyle name="百分比 2 2 2 2" xfId="143"/>
    <cellStyle name="百分比 2 2 2 3" xfId="144"/>
    <cellStyle name="百分比 2 2 3" xfId="145"/>
    <cellStyle name="百分比 3" xfId="146"/>
    <cellStyle name="百分比 3 2" xfId="147"/>
    <cellStyle name="百分比 3 3" xfId="148"/>
    <cellStyle name="百分比 4" xfId="149"/>
    <cellStyle name="百分比 4 2" xfId="151"/>
    <cellStyle name="百分比 4 3" xfId="153"/>
    <cellStyle name="百分比 4 3 2" xfId="155"/>
    <cellStyle name="百分比 5" xfId="157"/>
    <cellStyle name="标题" xfId="159"/>
    <cellStyle name="标题 1" xfId="150"/>
    <cellStyle name="标题 1 2" xfId="152"/>
    <cellStyle name="标题 1 3" xfId="154"/>
    <cellStyle name="标题 1 4" xfId="161"/>
    <cellStyle name="标题 2" xfId="158"/>
    <cellStyle name="标题 2 2" xfId="32"/>
    <cellStyle name="标题 2 3" xfId="37"/>
    <cellStyle name="标题 2 4" xfId="41"/>
    <cellStyle name="标题 3" xfId="162"/>
    <cellStyle name="标题 3 2" xfId="163"/>
    <cellStyle name="标题 3 3" xfId="6"/>
    <cellStyle name="标题 3 4" xfId="164"/>
    <cellStyle name="标题 4" xfId="165"/>
    <cellStyle name="标题 4 2" xfId="166"/>
    <cellStyle name="标题 4 3" xfId="168"/>
    <cellStyle name="标题 4 4" xfId="170"/>
    <cellStyle name="标题 5" xfId="173"/>
    <cellStyle name="标题 6" xfId="174"/>
    <cellStyle name="标题 7" xfId="175"/>
    <cellStyle name="差" xfId="176"/>
    <cellStyle name="差 2" xfId="177"/>
    <cellStyle name="差 3" xfId="178"/>
    <cellStyle name="差 4" xfId="140"/>
    <cellStyle name="常规" xfId="0" builtinId="0"/>
    <cellStyle name="常规 10" xfId="179"/>
    <cellStyle name="常规 11" xfId="180"/>
    <cellStyle name="常规 12" xfId="181"/>
    <cellStyle name="常规 13" xfId="182"/>
    <cellStyle name="常规 14" xfId="183"/>
    <cellStyle name="常规 15" xfId="184"/>
    <cellStyle name="常规 2" xfId="186"/>
    <cellStyle name="常规 2 12" xfId="187"/>
    <cellStyle name="常规 2 12 2" xfId="4"/>
    <cellStyle name="常规 2 12 3" xfId="190"/>
    <cellStyle name="常规 2 13" xfId="191"/>
    <cellStyle name="常规 2 13 2" xfId="192"/>
    <cellStyle name="常规 2 13 3" xfId="194"/>
    <cellStyle name="常规 2 2" xfId="195"/>
    <cellStyle name="常规 2 2 2" xfId="196"/>
    <cellStyle name="常规 2 2 2 2" xfId="197"/>
    <cellStyle name="常规 2 2 2 3" xfId="198"/>
    <cellStyle name="常规 2 2 3" xfId="199"/>
    <cellStyle name="常规 2 2 3 2" xfId="200"/>
    <cellStyle name="常规 2 2 3 3" xfId="201"/>
    <cellStyle name="常规 2 2 4" xfId="202"/>
    <cellStyle name="常规 2 2 5" xfId="203"/>
    <cellStyle name="常规 2 3" xfId="204"/>
    <cellStyle name="常规 2 3 2" xfId="205"/>
    <cellStyle name="常规 2 3 3" xfId="13"/>
    <cellStyle name="常规 2 4" xfId="206"/>
    <cellStyle name="常规 2 4 2" xfId="207"/>
    <cellStyle name="常规 2 4 3" xfId="208"/>
    <cellStyle name="常规 2 5" xfId="209"/>
    <cellStyle name="常规 2 5 2" xfId="212"/>
    <cellStyle name="常规 2 5 3" xfId="213"/>
    <cellStyle name="常规 2 6" xfId="214"/>
    <cellStyle name="常规 2 7" xfId="217"/>
    <cellStyle name="常规 20" xfId="185"/>
    <cellStyle name="常规 22" xfId="219"/>
    <cellStyle name="常规 23" xfId="220"/>
    <cellStyle name="常规 24" xfId="221"/>
    <cellStyle name="常规 26" xfId="222"/>
    <cellStyle name="常规 27" xfId="224"/>
    <cellStyle name="常规 28" xfId="225"/>
    <cellStyle name="常规 3" xfId="69"/>
    <cellStyle name="常规 3 11" xfId="226"/>
    <cellStyle name="常规 3 11 2" xfId="227"/>
    <cellStyle name="常规 3 11 3" xfId="44"/>
    <cellStyle name="常规 3 2" xfId="228"/>
    <cellStyle name="常规 3 3" xfId="229"/>
    <cellStyle name="常规 3 3 2" xfId="230"/>
    <cellStyle name="常规 3 3 3" xfId="231"/>
    <cellStyle name="常规 4" xfId="72"/>
    <cellStyle name="常规 4 2" xfId="232"/>
    <cellStyle name="常规 4 2 2" xfId="233"/>
    <cellStyle name="常规 4 3" xfId="234"/>
    <cellStyle name="常规 5" xfId="76"/>
    <cellStyle name="常规 5 2" xfId="160"/>
    <cellStyle name="常规 6" xfId="81"/>
    <cellStyle name="常规 6 2" xfId="235"/>
    <cellStyle name="常规 6 3" xfId="237"/>
    <cellStyle name="常规 6 4" xfId="239"/>
    <cellStyle name="常规 6 5" xfId="241"/>
    <cellStyle name="常规 7" xfId="117"/>
    <cellStyle name="常规 7 2" xfId="244"/>
    <cellStyle name="常规 8" xfId="119"/>
    <cellStyle name="常规 9" xfId="245"/>
    <cellStyle name="常规 9 2" xfId="35"/>
    <cellStyle name="常规_2009年预算上报集团表（模板）" xfId="77"/>
    <cellStyle name="常规_2011年预算上报集团表-2010.V2.10 2" xfId="246"/>
    <cellStyle name="常规_Sheet1" xfId="188"/>
    <cellStyle name="常规_投资收益表" xfId="193"/>
    <cellStyle name="好" xfId="15"/>
    <cellStyle name="好 2" xfId="54"/>
    <cellStyle name="好 3" xfId="247"/>
    <cellStyle name="好 4" xfId="248"/>
    <cellStyle name="汇总" xfId="111"/>
    <cellStyle name="汇总 2" xfId="249"/>
    <cellStyle name="汇总 3" xfId="156"/>
    <cellStyle name="汇总 4" xfId="250"/>
    <cellStyle name="货币 2" xfId="251"/>
    <cellStyle name="计算" xfId="223"/>
    <cellStyle name="计算 2" xfId="93"/>
    <cellStyle name="计算 3" xfId="96"/>
    <cellStyle name="计算 4" xfId="101"/>
    <cellStyle name="计算 5" xfId="105"/>
    <cellStyle name="检查单元格" xfId="85"/>
    <cellStyle name="检查单元格 2" xfId="171"/>
    <cellStyle name="检查单元格 3" xfId="252"/>
    <cellStyle name="检查单元格 4" xfId="254"/>
    <cellStyle name="检查单元格 5" xfId="256"/>
    <cellStyle name="解释性文本" xfId="258"/>
    <cellStyle name="解释性文本 2" xfId="2"/>
    <cellStyle name="解释性文本 3" xfId="259"/>
    <cellStyle name="警告文本" xfId="242"/>
    <cellStyle name="警告文本 2" xfId="260"/>
    <cellStyle name="警告文本 3" xfId="261"/>
    <cellStyle name="链接单元格" xfId="262"/>
    <cellStyle name="链接单元格 2" xfId="263"/>
    <cellStyle name="链接单元格 3" xfId="24"/>
    <cellStyle name="千位分隔" xfId="3" builtinId="3"/>
    <cellStyle name="千位分隔 2" xfId="264"/>
    <cellStyle name="千位分隔 2 2" xfId="265"/>
    <cellStyle name="千位分隔 2 2 2" xfId="266"/>
    <cellStyle name="千位分隔 2 2 2 2" xfId="267"/>
    <cellStyle name="千位分隔 2 2 2 3" xfId="268"/>
    <cellStyle name="千位分隔 2 2 3" xfId="1"/>
    <cellStyle name="千位分隔 3" xfId="167"/>
    <cellStyle name="千位分隔 3 2" xfId="10"/>
    <cellStyle name="千位分隔 3 3" xfId="269"/>
    <cellStyle name="千位分隔 3 4" xfId="270"/>
    <cellStyle name="千位分隔 4" xfId="169"/>
    <cellStyle name="千位分隔 5" xfId="172"/>
    <cellStyle name="千位分隔 6" xfId="253"/>
    <cellStyle name="千位分隔 6 2" xfId="271"/>
    <cellStyle name="千位分隔 6 3" xfId="273"/>
    <cellStyle name="千位分隔 6 4" xfId="275"/>
    <cellStyle name="千位分隔 7" xfId="255"/>
    <cellStyle name="千位分隔 8" xfId="257"/>
    <cellStyle name="千位分隔 9" xfId="278"/>
    <cellStyle name="千位分隔[0] 2" xfId="276"/>
    <cellStyle name="千位分隔[0] 2 2" xfId="279"/>
    <cellStyle name="千位分隔[0] 2 3" xfId="281"/>
    <cellStyle name="千位分隔[0] 3" xfId="283"/>
    <cellStyle name="千位分隔[0] 3 2" xfId="210"/>
    <cellStyle name="千位分隔[0] 3 3" xfId="215"/>
    <cellStyle name="千位分隔[0] 4" xfId="285"/>
    <cellStyle name="强调文字颜色 1" xfId="272"/>
    <cellStyle name="强调文字颜色 1 2" xfId="287"/>
    <cellStyle name="强调文字颜色 1 3" xfId="288"/>
    <cellStyle name="强调文字颜色 1 4" xfId="289"/>
    <cellStyle name="强调文字颜色 1 5" xfId="290"/>
    <cellStyle name="强调文字颜色 2" xfId="274"/>
    <cellStyle name="强调文字颜色 2 2" xfId="291"/>
    <cellStyle name="强调文字颜色 2 3" xfId="292"/>
    <cellStyle name="强调文字颜色 2 4" xfId="293"/>
    <cellStyle name="强调文字颜色 2 5" xfId="294"/>
    <cellStyle name="强调文字颜色 3" xfId="277"/>
    <cellStyle name="强调文字颜色 3 2" xfId="280"/>
    <cellStyle name="强调文字颜色 3 3" xfId="282"/>
    <cellStyle name="强调文字颜色 3 4" xfId="295"/>
    <cellStyle name="强调文字颜色 3 5" xfId="189"/>
    <cellStyle name="强调文字颜色 4" xfId="284"/>
    <cellStyle name="强调文字颜色 4 2" xfId="211"/>
    <cellStyle name="强调文字颜色 4 3" xfId="216"/>
    <cellStyle name="强调文字颜色 4 4" xfId="218"/>
    <cellStyle name="强调文字颜色 4 5" xfId="296"/>
    <cellStyle name="强调文字颜色 5" xfId="286"/>
    <cellStyle name="强调文字颜色 5 2" xfId="298"/>
    <cellStyle name="强调文字颜色 5 3" xfId="299"/>
    <cellStyle name="强调文字颜色 5 4" xfId="300"/>
    <cellStyle name="强调文字颜色 5 5" xfId="301"/>
    <cellStyle name="强调文字颜色 6" xfId="302"/>
    <cellStyle name="强调文字颜色 6 2" xfId="303"/>
    <cellStyle name="强调文字颜色 6 3" xfId="304"/>
    <cellStyle name="强调文字颜色 6 4" xfId="305"/>
    <cellStyle name="强调文字颜色 6 5" xfId="306"/>
    <cellStyle name="适中" xfId="64"/>
    <cellStyle name="适中 2" xfId="106"/>
    <cellStyle name="适中 3" xfId="307"/>
    <cellStyle name="适中 4" xfId="308"/>
    <cellStyle name="输出" xfId="309"/>
    <cellStyle name="输出 2" xfId="57"/>
    <cellStyle name="输出 3" xfId="46"/>
    <cellStyle name="输出 4" xfId="49"/>
    <cellStyle name="输出 5" xfId="52"/>
    <cellStyle name="输入" xfId="310"/>
    <cellStyle name="输入 2" xfId="297"/>
    <cellStyle name="输入 3" xfId="311"/>
    <cellStyle name="输入 4" xfId="312"/>
    <cellStyle name="输入 5" xfId="313"/>
    <cellStyle name="样式 1" xfId="314"/>
    <cellStyle name="样式 1 2" xfId="315"/>
    <cellStyle name="注释" xfId="82"/>
    <cellStyle name="注释 2" xfId="236"/>
    <cellStyle name="注释 3" xfId="238"/>
    <cellStyle name="注释 4" xfId="240"/>
    <cellStyle name="注释 5" xfId="2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44;&#31639;&#32534;&#21046;/2016&#39044;&#31639;&#32534;&#21046;/&#24066;&#22330;&#20998;&#35299;/2016&#39044;&#31639;&#20998;&#35299;&#65288;&#32467;&#35770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44;&#31639;&#32534;&#21046;/2016&#39044;&#31639;&#32534;&#21046;/1224&#36164;&#37329;&#39044;&#31639;/&#28023;&#33322;&#33322;&#31354;2016&#24180;&#24230;&#39044;&#31639;&#32534;&#21046;&#25253;&#34920;-&#19978;&#25253;&#34920;&#65288;&#19978;&#25253;-&#31077;&#40527;&#33322;&#313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月"/>
      <sheetName val="分日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、2015-2017年核心指标规划表"/>
      <sheetName val="2、2016年核心指标表"/>
      <sheetName val="3、生产经营预算表"/>
      <sheetName val="4、利润预算表"/>
      <sheetName val="5、财务收支表"/>
      <sheetName val="6、投资预算汇总表"/>
      <sheetName val="7、差旅费、业务活动费"/>
      <sheetName val="8、运力计划"/>
      <sheetName val="9、收入构成表"/>
      <sheetName val="10、辅营收入（仅客运填写）"/>
      <sheetName val="11、现金流量平衡表"/>
      <sheetName val="12、十二大成本"/>
      <sheetName val="13、投资收益、公允价值变动&amp;汇率损益"/>
      <sheetName val="14、分机型损益预算"/>
      <sheetName val="15、板块汇总(反馈编制底稿的企业可不填）"/>
    </sheetNames>
    <sheetDataSet>
      <sheetData sheetId="0"/>
      <sheetData sheetId="1"/>
      <sheetData sheetId="2">
        <row r="303">
          <cell r="G303">
            <v>36585.972664267952</v>
          </cell>
        </row>
        <row r="304">
          <cell r="G304">
            <v>39525.074457459072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J277"/>
  <sheetViews>
    <sheetView showGridLines="0" workbookViewId="0">
      <pane xSplit="4" ySplit="2" topLeftCell="E30" activePane="bottomRight" state="frozenSplit"/>
      <selection pane="topRight"/>
      <selection pane="bottomLeft"/>
      <selection pane="bottomRight" activeCell="K33" sqref="K33:P33"/>
    </sheetView>
  </sheetViews>
  <sheetFormatPr defaultColWidth="9" defaultRowHeight="24" customHeight="1"/>
  <cols>
    <col min="1" max="1" width="3.5" style="120" customWidth="1"/>
    <col min="2" max="2" width="17.375" style="121" customWidth="1"/>
    <col min="3" max="3" width="8.25" style="120" customWidth="1"/>
    <col min="4" max="4" width="9.25" style="122" customWidth="1"/>
    <col min="5" max="5" width="10.375" style="117" customWidth="1"/>
    <col min="6" max="6" width="9" style="117" customWidth="1"/>
    <col min="7" max="7" width="9.375" style="117" customWidth="1"/>
    <col min="8" max="15" width="8.625" style="117" customWidth="1"/>
    <col min="16" max="17" width="8.625" style="116" customWidth="1"/>
    <col min="18" max="18" width="14.625" style="123" customWidth="1"/>
    <col min="19" max="19" width="10.25" style="116" hidden="1" customWidth="1"/>
    <col min="20" max="20" width="11.5" style="116" customWidth="1"/>
    <col min="21" max="21" width="12.625" style="116" customWidth="1"/>
    <col min="22" max="244" width="9" style="116" customWidth="1"/>
    <col min="245" max="16384" width="9" style="124"/>
  </cols>
  <sheetData>
    <row r="1" spans="1:37" s="116" customFormat="1" ht="30" customHeight="1">
      <c r="A1" s="125" t="s">
        <v>0</v>
      </c>
      <c r="B1" s="125" t="s">
        <v>1</v>
      </c>
      <c r="C1" s="126" t="s">
        <v>2</v>
      </c>
      <c r="D1" s="12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23"/>
    </row>
    <row r="2" spans="1:37" s="116" customFormat="1" ht="24" customHeight="1">
      <c r="A2" s="125" t="s">
        <v>17</v>
      </c>
      <c r="B2" s="125" t="s">
        <v>18</v>
      </c>
      <c r="C2" s="52" t="s">
        <v>19</v>
      </c>
      <c r="D2" s="128">
        <v>366</v>
      </c>
      <c r="E2" s="128">
        <v>31</v>
      </c>
      <c r="F2" s="128">
        <v>29</v>
      </c>
      <c r="G2" s="128">
        <v>31</v>
      </c>
      <c r="H2" s="128">
        <v>30</v>
      </c>
      <c r="I2" s="128">
        <v>31</v>
      </c>
      <c r="J2" s="128">
        <v>30</v>
      </c>
      <c r="K2" s="128">
        <v>31</v>
      </c>
      <c r="L2" s="128">
        <v>31</v>
      </c>
      <c r="M2" s="128">
        <v>30</v>
      </c>
      <c r="N2" s="128">
        <v>31</v>
      </c>
      <c r="O2" s="128">
        <v>30</v>
      </c>
      <c r="P2" s="128">
        <v>31</v>
      </c>
      <c r="Q2" s="128">
        <f>SUM(E2:P2)</f>
        <v>366</v>
      </c>
      <c r="R2" s="123"/>
      <c r="T2" s="245">
        <f>E2+F2+G2+H2+I2+J2</f>
        <v>182</v>
      </c>
    </row>
    <row r="3" spans="1:37" s="117" customFormat="1" ht="24" customHeight="1">
      <c r="A3" s="129">
        <v>1</v>
      </c>
      <c r="B3" s="130" t="s">
        <v>20</v>
      </c>
      <c r="C3" s="129" t="s">
        <v>21</v>
      </c>
      <c r="D3" s="131">
        <f>D4+D5+D6+D7</f>
        <v>36</v>
      </c>
      <c r="E3" s="132">
        <f>SUM(E4:E7)</f>
        <v>28</v>
      </c>
      <c r="F3" s="132">
        <f t="shared" ref="F3" si="0">SUM(F4:F7)</f>
        <v>28</v>
      </c>
      <c r="G3" s="132">
        <f t="shared" ref="G3:Q3" si="1">SUM(G4:G7)</f>
        <v>28</v>
      </c>
      <c r="H3" s="132">
        <f t="shared" si="1"/>
        <v>29</v>
      </c>
      <c r="I3" s="132">
        <f t="shared" si="1"/>
        <v>30</v>
      </c>
      <c r="J3" s="132">
        <f t="shared" si="1"/>
        <v>30</v>
      </c>
      <c r="K3" s="132">
        <f t="shared" si="1"/>
        <v>33</v>
      </c>
      <c r="L3" s="132">
        <f t="shared" si="1"/>
        <v>33</v>
      </c>
      <c r="M3" s="132">
        <f t="shared" si="1"/>
        <v>35</v>
      </c>
      <c r="N3" s="132">
        <f t="shared" si="1"/>
        <v>36</v>
      </c>
      <c r="O3" s="132">
        <f t="shared" si="1"/>
        <v>36</v>
      </c>
      <c r="P3" s="132">
        <f t="shared" si="1"/>
        <v>36</v>
      </c>
      <c r="Q3" s="132">
        <f t="shared" si="1"/>
        <v>36</v>
      </c>
      <c r="R3" s="160">
        <f>D3-Q3</f>
        <v>0</v>
      </c>
      <c r="S3" s="161"/>
      <c r="T3" s="249">
        <f>J3</f>
        <v>30</v>
      </c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</row>
    <row r="4" spans="1:37" s="116" customFormat="1" ht="24" customHeight="1">
      <c r="A4" s="133"/>
      <c r="B4" s="134" t="s">
        <v>22</v>
      </c>
      <c r="C4" s="135"/>
      <c r="D4" s="203">
        <v>12</v>
      </c>
      <c r="E4" s="204">
        <v>10</v>
      </c>
      <c r="F4" s="204">
        <v>10</v>
      </c>
      <c r="G4" s="204">
        <v>10</v>
      </c>
      <c r="H4" s="204">
        <v>11</v>
      </c>
      <c r="I4" s="204">
        <v>12</v>
      </c>
      <c r="J4" s="204">
        <v>12</v>
      </c>
      <c r="K4" s="204">
        <v>10</v>
      </c>
      <c r="L4" s="204">
        <v>10</v>
      </c>
      <c r="M4" s="204">
        <v>11</v>
      </c>
      <c r="N4" s="204">
        <v>12</v>
      </c>
      <c r="O4" s="204">
        <v>12</v>
      </c>
      <c r="P4" s="204">
        <v>12</v>
      </c>
      <c r="Q4" s="136">
        <v>12</v>
      </c>
      <c r="R4" s="160">
        <f>D4-Q4</f>
        <v>0</v>
      </c>
      <c r="S4" s="161"/>
      <c r="T4" s="249">
        <f>J4</f>
        <v>12</v>
      </c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</row>
    <row r="5" spans="1:37" s="116" customFormat="1" ht="24" customHeight="1">
      <c r="A5" s="133"/>
      <c r="B5" s="134" t="s">
        <v>23</v>
      </c>
      <c r="C5" s="135"/>
      <c r="D5" s="201">
        <v>14</v>
      </c>
      <c r="E5" s="204">
        <v>11</v>
      </c>
      <c r="F5" s="204">
        <v>11</v>
      </c>
      <c r="G5" s="204">
        <v>11</v>
      </c>
      <c r="H5" s="282">
        <v>11</v>
      </c>
      <c r="I5" s="204">
        <v>11</v>
      </c>
      <c r="J5" s="204">
        <v>11</v>
      </c>
      <c r="K5" s="204">
        <v>13</v>
      </c>
      <c r="L5" s="204">
        <v>13</v>
      </c>
      <c r="M5" s="204">
        <v>14</v>
      </c>
      <c r="N5" s="204">
        <v>14</v>
      </c>
      <c r="O5" s="204">
        <v>14</v>
      </c>
      <c r="P5" s="204">
        <v>14</v>
      </c>
      <c r="Q5" s="136">
        <v>14</v>
      </c>
      <c r="R5" s="160">
        <f t="shared" ref="R5" si="2">D5-Q5</f>
        <v>0</v>
      </c>
      <c r="S5" s="161"/>
      <c r="T5" s="249">
        <f t="shared" ref="T5:T7" si="3">J5</f>
        <v>11</v>
      </c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</row>
    <row r="6" spans="1:37" s="116" customFormat="1" ht="24" customHeight="1">
      <c r="A6" s="133"/>
      <c r="B6" s="134" t="s">
        <v>24</v>
      </c>
      <c r="C6" s="135"/>
      <c r="D6" s="202">
        <v>3</v>
      </c>
      <c r="E6" s="204">
        <v>3</v>
      </c>
      <c r="F6" s="204">
        <v>3</v>
      </c>
      <c r="G6" s="204">
        <v>3</v>
      </c>
      <c r="H6" s="204">
        <v>3</v>
      </c>
      <c r="I6" s="204">
        <v>3</v>
      </c>
      <c r="J6" s="204">
        <v>3</v>
      </c>
      <c r="K6" s="204">
        <v>3</v>
      </c>
      <c r="L6" s="204">
        <v>3</v>
      </c>
      <c r="M6" s="204">
        <v>3</v>
      </c>
      <c r="N6" s="204">
        <v>3</v>
      </c>
      <c r="O6" s="204">
        <v>3</v>
      </c>
      <c r="P6" s="204">
        <v>3</v>
      </c>
      <c r="Q6" s="136">
        <v>3</v>
      </c>
      <c r="R6" s="160">
        <f t="shared" ref="R6:R37" si="4">D6-Q6</f>
        <v>0</v>
      </c>
      <c r="S6" s="161"/>
      <c r="T6" s="249">
        <f t="shared" si="3"/>
        <v>3</v>
      </c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</row>
    <row r="7" spans="1:37" s="116" customFormat="1" ht="24" customHeight="1">
      <c r="A7" s="133"/>
      <c r="B7" s="134" t="s">
        <v>25</v>
      </c>
      <c r="C7" s="135"/>
      <c r="D7" s="201">
        <v>7</v>
      </c>
      <c r="E7" s="243">
        <v>4</v>
      </c>
      <c r="F7" s="243">
        <v>4</v>
      </c>
      <c r="G7" s="243">
        <v>4</v>
      </c>
      <c r="H7" s="280">
        <v>4</v>
      </c>
      <c r="I7" s="204">
        <v>4</v>
      </c>
      <c r="J7" s="204">
        <v>4</v>
      </c>
      <c r="K7" s="204">
        <v>7</v>
      </c>
      <c r="L7" s="204">
        <v>7</v>
      </c>
      <c r="M7" s="204">
        <v>7</v>
      </c>
      <c r="N7" s="204">
        <v>7</v>
      </c>
      <c r="O7" s="204">
        <v>7</v>
      </c>
      <c r="P7" s="204">
        <v>7</v>
      </c>
      <c r="Q7" s="136">
        <v>7</v>
      </c>
      <c r="R7" s="160">
        <f t="shared" si="4"/>
        <v>0</v>
      </c>
      <c r="S7" s="161"/>
      <c r="T7" s="249">
        <f t="shared" si="3"/>
        <v>4</v>
      </c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</row>
    <row r="8" spans="1:37" s="118" customFormat="1" ht="24" customHeight="1">
      <c r="A8" s="129">
        <v>2</v>
      </c>
      <c r="B8" s="129" t="s">
        <v>26</v>
      </c>
      <c r="C8" s="129" t="s">
        <v>21</v>
      </c>
      <c r="D8" s="138">
        <f>SUM(D9:D12)</f>
        <v>32.923497267759551</v>
      </c>
      <c r="E8" s="212">
        <f t="shared" ref="E8" si="5">SUM(E9:E12)</f>
        <v>28</v>
      </c>
      <c r="F8" s="212">
        <f>SUM(F9:F12)</f>
        <v>28</v>
      </c>
      <c r="G8" s="212">
        <f>SUM(G9:G12)</f>
        <v>28</v>
      </c>
      <c r="H8" s="212">
        <f t="shared" ref="H8" si="6">SUM(H9:H12)</f>
        <v>28.5</v>
      </c>
      <c r="I8" s="212">
        <f>SUM(I9:I12)</f>
        <v>29.35483870967742</v>
      </c>
      <c r="J8" s="212">
        <f t="shared" ref="J8:P8" si="7">SUM(J9:J12)</f>
        <v>30</v>
      </c>
      <c r="K8" s="212">
        <f t="shared" si="7"/>
        <v>30</v>
      </c>
      <c r="L8" s="212">
        <f t="shared" si="7"/>
        <v>33</v>
      </c>
      <c r="M8" s="212">
        <f t="shared" si="7"/>
        <v>35</v>
      </c>
      <c r="N8" s="212">
        <f t="shared" si="7"/>
        <v>36</v>
      </c>
      <c r="O8" s="212">
        <f t="shared" si="7"/>
        <v>36</v>
      </c>
      <c r="P8" s="212">
        <f t="shared" si="7"/>
        <v>36</v>
      </c>
      <c r="Q8" s="212">
        <f>Q210/Q$2</f>
        <v>31.497267759562842</v>
      </c>
      <c r="R8" s="160">
        <f>D8-Q8</f>
        <v>1.4262295081967089</v>
      </c>
      <c r="S8" s="161"/>
      <c r="T8" s="250">
        <f>T210/T$2</f>
        <v>28.642857142857142</v>
      </c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</row>
    <row r="9" spans="1:37" s="118" customFormat="1" ht="24" customHeight="1">
      <c r="A9" s="133"/>
      <c r="B9" s="134" t="s">
        <v>22</v>
      </c>
      <c r="C9" s="135"/>
      <c r="D9" s="237">
        <v>10.584699453551901</v>
      </c>
      <c r="E9" s="211">
        <v>10</v>
      </c>
      <c r="F9" s="211">
        <v>10</v>
      </c>
      <c r="G9" s="211">
        <v>10</v>
      </c>
      <c r="H9" s="281">
        <f>10+15/30</f>
        <v>10.5</v>
      </c>
      <c r="I9" s="281">
        <f>11+11/31</f>
        <v>11.35483870967742</v>
      </c>
      <c r="J9" s="284">
        <v>12</v>
      </c>
      <c r="K9" s="211">
        <v>12</v>
      </c>
      <c r="L9" s="211">
        <v>10</v>
      </c>
      <c r="M9" s="211">
        <v>11</v>
      </c>
      <c r="N9" s="211">
        <v>12</v>
      </c>
      <c r="O9" s="211">
        <v>12</v>
      </c>
      <c r="P9" s="211">
        <v>12</v>
      </c>
      <c r="Q9" s="162">
        <f>Q211/Q$2</f>
        <v>11.073770491803279</v>
      </c>
      <c r="R9" s="160">
        <f t="shared" si="4"/>
        <v>-0.4890710382513781</v>
      </c>
      <c r="S9" s="161"/>
      <c r="T9" s="251">
        <f>T211/T$2</f>
        <v>10.642857142857142</v>
      </c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</row>
    <row r="10" spans="1:37" s="118" customFormat="1" ht="24" customHeight="1">
      <c r="A10" s="133"/>
      <c r="B10" s="134" t="s">
        <v>23</v>
      </c>
      <c r="C10" s="135"/>
      <c r="D10" s="237">
        <v>12.83606557377049</v>
      </c>
      <c r="E10" s="211">
        <v>11</v>
      </c>
      <c r="F10" s="211">
        <v>11</v>
      </c>
      <c r="G10" s="211">
        <v>11</v>
      </c>
      <c r="H10" s="211">
        <v>11</v>
      </c>
      <c r="I10" s="211">
        <v>11</v>
      </c>
      <c r="J10" s="211">
        <v>11</v>
      </c>
      <c r="K10" s="211">
        <v>11</v>
      </c>
      <c r="L10" s="211">
        <v>13</v>
      </c>
      <c r="M10" s="211">
        <v>14</v>
      </c>
      <c r="N10" s="211">
        <v>14</v>
      </c>
      <c r="O10" s="211">
        <v>14</v>
      </c>
      <c r="P10" s="211">
        <v>14</v>
      </c>
      <c r="Q10" s="162">
        <f>Q212/Q$2</f>
        <v>12.169398907103826</v>
      </c>
      <c r="R10" s="160">
        <f t="shared" si="4"/>
        <v>0.6666666666666643</v>
      </c>
      <c r="S10" s="161"/>
      <c r="T10" s="251">
        <f>T212/T$2</f>
        <v>11</v>
      </c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</row>
    <row r="11" spans="1:37" s="118" customFormat="1" ht="24" customHeight="1">
      <c r="A11" s="133"/>
      <c r="B11" s="134" t="s">
        <v>24</v>
      </c>
      <c r="C11" s="135"/>
      <c r="D11" s="238">
        <v>3</v>
      </c>
      <c r="E11" s="211">
        <v>3</v>
      </c>
      <c r="F11" s="211">
        <v>3</v>
      </c>
      <c r="G11" s="211">
        <v>3</v>
      </c>
      <c r="H11" s="211">
        <v>3</v>
      </c>
      <c r="I11" s="211">
        <v>3</v>
      </c>
      <c r="J11" s="211">
        <v>3</v>
      </c>
      <c r="K11" s="211">
        <v>3</v>
      </c>
      <c r="L11" s="211">
        <v>3</v>
      </c>
      <c r="M11" s="211">
        <v>3</v>
      </c>
      <c r="N11" s="211">
        <v>3</v>
      </c>
      <c r="O11" s="211">
        <v>3</v>
      </c>
      <c r="P11" s="211">
        <v>3</v>
      </c>
      <c r="Q11" s="162">
        <f>Q213/Q$2</f>
        <v>3</v>
      </c>
      <c r="R11" s="160">
        <f t="shared" si="4"/>
        <v>0</v>
      </c>
      <c r="S11" s="161"/>
      <c r="T11" s="251">
        <f>T213/T$2</f>
        <v>3</v>
      </c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</row>
    <row r="12" spans="1:37" s="118" customFormat="1" ht="24" customHeight="1">
      <c r="A12" s="133"/>
      <c r="B12" s="134" t="s">
        <v>25</v>
      </c>
      <c r="C12" s="135"/>
      <c r="D12" s="238">
        <v>6.5027322404371599</v>
      </c>
      <c r="E12" s="244">
        <v>4</v>
      </c>
      <c r="F12" s="244">
        <v>4</v>
      </c>
      <c r="G12" s="244">
        <v>4</v>
      </c>
      <c r="H12" s="281">
        <f>4</f>
        <v>4</v>
      </c>
      <c r="I12" s="281">
        <v>4</v>
      </c>
      <c r="J12" s="281">
        <v>4</v>
      </c>
      <c r="K12" s="211">
        <v>4</v>
      </c>
      <c r="L12" s="211">
        <v>7</v>
      </c>
      <c r="M12" s="211">
        <v>7</v>
      </c>
      <c r="N12" s="211">
        <v>7</v>
      </c>
      <c r="O12" s="211">
        <v>7</v>
      </c>
      <c r="P12" s="211">
        <v>7</v>
      </c>
      <c r="Q12" s="162">
        <f>Q214/Q$2</f>
        <v>5.2540983606557381</v>
      </c>
      <c r="R12" s="160">
        <f t="shared" si="4"/>
        <v>1.2486338797814218</v>
      </c>
      <c r="S12" s="161"/>
      <c r="T12" s="251">
        <f>T214/T$2</f>
        <v>4</v>
      </c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</row>
    <row r="13" spans="1:37" s="116" customFormat="1" ht="24" customHeight="1">
      <c r="A13" s="129">
        <v>3</v>
      </c>
      <c r="B13" s="139" t="s">
        <v>27</v>
      </c>
      <c r="C13" s="129" t="s">
        <v>28</v>
      </c>
      <c r="D13" s="140">
        <f>D14+D15+D16+D17</f>
        <v>1871992.6229508189</v>
      </c>
      <c r="E13" s="140">
        <f>SUM(E14:E17)</f>
        <v>134535.42622950816</v>
      </c>
      <c r="F13" s="140">
        <f t="shared" ref="F13" si="8">SUM(F14:F17)</f>
        <v>125855.72131147538</v>
      </c>
      <c r="G13" s="140">
        <f t="shared" ref="G13:P13" si="9">SUM(G14:G17)</f>
        <v>134535.42622950816</v>
      </c>
      <c r="H13" s="140">
        <f t="shared" si="9"/>
        <v>132805.57377049176</v>
      </c>
      <c r="I13" s="140">
        <f t="shared" si="9"/>
        <v>141843.42622950816</v>
      </c>
      <c r="J13" s="140">
        <f t="shared" si="9"/>
        <v>140635.57377049176</v>
      </c>
      <c r="K13" s="140">
        <f t="shared" si="9"/>
        <v>145323.42622950816</v>
      </c>
      <c r="L13" s="140">
        <f t="shared" si="9"/>
        <v>158692.04918032783</v>
      </c>
      <c r="M13" s="140">
        <f t="shared" si="9"/>
        <v>162921.63934426225</v>
      </c>
      <c r="N13" s="140">
        <f t="shared" si="9"/>
        <v>173746.36065573766</v>
      </c>
      <c r="O13" s="140">
        <f t="shared" si="9"/>
        <v>168141.63934426225</v>
      </c>
      <c r="P13" s="140">
        <f t="shared" si="9"/>
        <v>173746.36065573766</v>
      </c>
      <c r="Q13" s="140">
        <f>SUM(Q14:Q17)</f>
        <v>1792782.6229508191</v>
      </c>
      <c r="R13" s="160">
        <f>D13-Q13</f>
        <v>79209.999999999767</v>
      </c>
      <c r="S13" s="161"/>
      <c r="T13" s="252">
        <f>SUM(T14:T17)</f>
        <v>810211.14754098339</v>
      </c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</row>
    <row r="14" spans="1:37" s="116" customFormat="1" ht="24" customHeight="1">
      <c r="A14" s="133"/>
      <c r="B14" s="134" t="s">
        <v>22</v>
      </c>
      <c r="C14" s="141">
        <v>174</v>
      </c>
      <c r="D14" s="142">
        <v>674076</v>
      </c>
      <c r="E14" s="143">
        <f>$C14*E9*E$2</f>
        <v>53940</v>
      </c>
      <c r="F14" s="143">
        <f t="shared" ref="F14" si="10">$C14*F9*F$2</f>
        <v>50460</v>
      </c>
      <c r="G14" s="143">
        <f t="shared" ref="G14:P14" si="11">$C14*G9*G$2</f>
        <v>53940</v>
      </c>
      <c r="H14" s="143">
        <f t="shared" si="11"/>
        <v>54810</v>
      </c>
      <c r="I14" s="143">
        <f t="shared" si="11"/>
        <v>61248</v>
      </c>
      <c r="J14" s="143">
        <f t="shared" si="11"/>
        <v>62640</v>
      </c>
      <c r="K14" s="143">
        <f t="shared" si="11"/>
        <v>64728</v>
      </c>
      <c r="L14" s="143">
        <f t="shared" si="11"/>
        <v>53940</v>
      </c>
      <c r="M14" s="143">
        <f t="shared" si="11"/>
        <v>57420</v>
      </c>
      <c r="N14" s="143">
        <f t="shared" si="11"/>
        <v>64728</v>
      </c>
      <c r="O14" s="143">
        <f t="shared" si="11"/>
        <v>62640</v>
      </c>
      <c r="P14" s="143">
        <f t="shared" si="11"/>
        <v>64728</v>
      </c>
      <c r="Q14" s="163">
        <f>SUM(E14:P14)</f>
        <v>705222</v>
      </c>
      <c r="R14" s="160">
        <f>D14-Q14</f>
        <v>-31146</v>
      </c>
      <c r="S14" s="161"/>
      <c r="T14" s="253">
        <f>E14+F14+G14+H14+I14+J14</f>
        <v>337038</v>
      </c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</row>
    <row r="15" spans="1:37" s="116" customFormat="1" ht="24" customHeight="1">
      <c r="A15" s="133"/>
      <c r="B15" s="134" t="s">
        <v>23</v>
      </c>
      <c r="C15" s="141">
        <v>137.62295081967201</v>
      </c>
      <c r="D15" s="142">
        <v>646552.62295081897</v>
      </c>
      <c r="E15" s="143">
        <f>$C15*E10*E$2</f>
        <v>46929.426229508157</v>
      </c>
      <c r="F15" s="143">
        <f t="shared" ref="F15:P15" si="12">$C15*F10*F$2</f>
        <v>43901.721311475376</v>
      </c>
      <c r="G15" s="143">
        <f t="shared" si="12"/>
        <v>46929.426229508157</v>
      </c>
      <c r="H15" s="143">
        <f t="shared" si="12"/>
        <v>45415.57377049177</v>
      </c>
      <c r="I15" s="143">
        <f t="shared" si="12"/>
        <v>46929.426229508157</v>
      </c>
      <c r="J15" s="143">
        <f t="shared" si="12"/>
        <v>45415.57377049177</v>
      </c>
      <c r="K15" s="143">
        <f t="shared" si="12"/>
        <v>46929.426229508157</v>
      </c>
      <c r="L15" s="143">
        <f t="shared" si="12"/>
        <v>55462.04918032782</v>
      </c>
      <c r="M15" s="143">
        <f t="shared" si="12"/>
        <v>57801.639344262243</v>
      </c>
      <c r="N15" s="143">
        <f t="shared" si="12"/>
        <v>59728.360655737655</v>
      </c>
      <c r="O15" s="143">
        <f t="shared" si="12"/>
        <v>57801.639344262243</v>
      </c>
      <c r="P15" s="143">
        <f t="shared" si="12"/>
        <v>59728.360655737655</v>
      </c>
      <c r="Q15" s="163">
        <f>SUM(E15:P15)</f>
        <v>612972.62295081909</v>
      </c>
      <c r="R15" s="160">
        <f>D15-Q15</f>
        <v>33579.999999999884</v>
      </c>
      <c r="S15" s="161"/>
      <c r="T15" s="253">
        <f t="shared" ref="T15" si="13">E15+F15+G15+H15+I15+J15</f>
        <v>275521.14754098339</v>
      </c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</row>
    <row r="16" spans="1:37" s="116" customFormat="1" ht="24" customHeight="1">
      <c r="A16" s="133"/>
      <c r="B16" s="134" t="s">
        <v>24</v>
      </c>
      <c r="C16" s="141">
        <v>138</v>
      </c>
      <c r="D16" s="142">
        <v>151524</v>
      </c>
      <c r="E16" s="143">
        <f>$C16*E11*E$2</f>
        <v>12834</v>
      </c>
      <c r="F16" s="143">
        <f>$C16*F11*F$2</f>
        <v>12006</v>
      </c>
      <c r="G16" s="143">
        <f t="shared" ref="G16:P16" si="14">$C16*G11*G$2</f>
        <v>12834</v>
      </c>
      <c r="H16" s="143">
        <f t="shared" si="14"/>
        <v>12420</v>
      </c>
      <c r="I16" s="143">
        <f t="shared" si="14"/>
        <v>12834</v>
      </c>
      <c r="J16" s="143">
        <f t="shared" si="14"/>
        <v>12420</v>
      </c>
      <c r="K16" s="143">
        <f t="shared" si="14"/>
        <v>12834</v>
      </c>
      <c r="L16" s="143">
        <f t="shared" si="14"/>
        <v>12834</v>
      </c>
      <c r="M16" s="143">
        <f t="shared" si="14"/>
        <v>12420</v>
      </c>
      <c r="N16" s="143">
        <f t="shared" si="14"/>
        <v>12834</v>
      </c>
      <c r="O16" s="143">
        <f t="shared" si="14"/>
        <v>12420</v>
      </c>
      <c r="P16" s="143">
        <f t="shared" si="14"/>
        <v>12834</v>
      </c>
      <c r="Q16" s="163">
        <f>SUM(E16:P16)</f>
        <v>151524</v>
      </c>
      <c r="R16" s="160">
        <f t="shared" si="4"/>
        <v>0</v>
      </c>
      <c r="S16" s="161"/>
      <c r="T16" s="253">
        <f>E16+F16+G16+H16+I16+J16</f>
        <v>75348</v>
      </c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</row>
    <row r="17" spans="1:39" s="116" customFormat="1" ht="24" customHeight="1">
      <c r="A17" s="133"/>
      <c r="B17" s="134" t="s">
        <v>25</v>
      </c>
      <c r="C17" s="141">
        <v>168</v>
      </c>
      <c r="D17" s="142">
        <v>399840.00000000012</v>
      </c>
      <c r="E17" s="143">
        <f>$C17*E12*E$2</f>
        <v>20832</v>
      </c>
      <c r="F17" s="143">
        <f>$C17*F12*F$2</f>
        <v>19488</v>
      </c>
      <c r="G17" s="143">
        <f t="shared" ref="G17:P17" si="15">$C17*G12*G$2</f>
        <v>20832</v>
      </c>
      <c r="H17" s="143">
        <f t="shared" si="15"/>
        <v>20160</v>
      </c>
      <c r="I17" s="143">
        <f t="shared" si="15"/>
        <v>20832</v>
      </c>
      <c r="J17" s="143">
        <f t="shared" si="15"/>
        <v>20160</v>
      </c>
      <c r="K17" s="143">
        <f t="shared" si="15"/>
        <v>20832</v>
      </c>
      <c r="L17" s="143">
        <f t="shared" si="15"/>
        <v>36456</v>
      </c>
      <c r="M17" s="143">
        <f t="shared" si="15"/>
        <v>35280</v>
      </c>
      <c r="N17" s="143">
        <f t="shared" si="15"/>
        <v>36456</v>
      </c>
      <c r="O17" s="143">
        <f t="shared" si="15"/>
        <v>35280</v>
      </c>
      <c r="P17" s="143">
        <f t="shared" si="15"/>
        <v>36456</v>
      </c>
      <c r="Q17" s="163">
        <f>SUM(E17:P17)</f>
        <v>323064</v>
      </c>
      <c r="R17" s="160">
        <f t="shared" si="4"/>
        <v>76776.000000000116</v>
      </c>
      <c r="S17" s="161"/>
      <c r="T17" s="253">
        <f t="shared" ref="T17:T42" si="16">E17+F17+G17+H17+I17+J17</f>
        <v>122304</v>
      </c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</row>
    <row r="18" spans="1:39" s="116" customFormat="1" ht="24" customHeight="1">
      <c r="A18" s="129">
        <v>4</v>
      </c>
      <c r="B18" s="139" t="s">
        <v>29</v>
      </c>
      <c r="C18" s="129" t="s">
        <v>30</v>
      </c>
      <c r="D18" s="140">
        <f>D19+D20+D21+D22</f>
        <v>106457.91074999995</v>
      </c>
      <c r="E18" s="132">
        <f>SUM(E19:E22)</f>
        <v>7984.4259579999944</v>
      </c>
      <c r="F18" s="132">
        <f t="shared" ref="F18" si="17">SUM(F19:F22)</f>
        <v>7886.9991049999935</v>
      </c>
      <c r="G18" s="132">
        <f t="shared" ref="G18:P18" si="18">SUM(G19:G22)</f>
        <v>7849.7407659999953</v>
      </c>
      <c r="H18" s="132">
        <f t="shared" si="18"/>
        <v>7883.6074519999993</v>
      </c>
      <c r="I18" s="132">
        <f t="shared" si="18"/>
        <v>7688.5515861836238</v>
      </c>
      <c r="J18" s="132">
        <f t="shared" si="18"/>
        <v>7561.0773974153835</v>
      </c>
      <c r="K18" s="132">
        <f t="shared" si="18"/>
        <v>8945.6938598769229</v>
      </c>
      <c r="L18" s="132">
        <f t="shared" si="18"/>
        <v>9778.5498700000007</v>
      </c>
      <c r="M18" s="132">
        <f t="shared" si="18"/>
        <v>9039.7004159999997</v>
      </c>
      <c r="N18" s="132">
        <f t="shared" si="18"/>
        <v>9651.1837599999999</v>
      </c>
      <c r="O18" s="132">
        <f t="shared" si="18"/>
        <v>9129.3854460000002</v>
      </c>
      <c r="P18" s="132">
        <f t="shared" si="18"/>
        <v>8644.9135849999966</v>
      </c>
      <c r="Q18" s="132">
        <f>SUM(Q19:Q22)</f>
        <v>102043.82920147592</v>
      </c>
      <c r="R18" s="160">
        <f t="shared" si="4"/>
        <v>4414.0815485240309</v>
      </c>
      <c r="S18" s="161"/>
      <c r="T18" s="253">
        <f t="shared" si="16"/>
        <v>46854.40226459899</v>
      </c>
      <c r="U18" s="164"/>
    </row>
    <row r="19" spans="1:39" s="116" customFormat="1" ht="24" customHeight="1">
      <c r="A19" s="133"/>
      <c r="B19" s="134" t="s">
        <v>22</v>
      </c>
      <c r="C19" s="144">
        <v>0.94030000000000002</v>
      </c>
      <c r="D19" s="142">
        <v>40980.624749999952</v>
      </c>
      <c r="E19" s="145">
        <f>$C19*E34</f>
        <v>3362.9077259999945</v>
      </c>
      <c r="F19" s="145">
        <f>$C19*F34</f>
        <v>3357.4257769999926</v>
      </c>
      <c r="G19" s="145">
        <f>$C19*G34</f>
        <v>3374.0408779999952</v>
      </c>
      <c r="H19" s="145">
        <f t="shared" ref="H19" si="19">$C19*H34</f>
        <v>3424.0084200000001</v>
      </c>
      <c r="I19" s="145">
        <f t="shared" ref="I19:P19" si="20">$C19*I34</f>
        <v>3508.7676686451618</v>
      </c>
      <c r="J19" s="145">
        <f t="shared" si="20"/>
        <v>3582.1819247999997</v>
      </c>
      <c r="K19" s="145">
        <f t="shared" si="20"/>
        <v>4195.6712568000003</v>
      </c>
      <c r="L19" s="145">
        <f t="shared" si="20"/>
        <v>3537.2769580000008</v>
      </c>
      <c r="M19" s="145">
        <f t="shared" si="20"/>
        <v>3389.2925439999999</v>
      </c>
      <c r="N19" s="145">
        <f t="shared" si="20"/>
        <v>3816.1135200000003</v>
      </c>
      <c r="O19" s="145">
        <f t="shared" si="20"/>
        <v>3775.661814</v>
      </c>
      <c r="P19" s="145">
        <f t="shared" si="20"/>
        <v>3535.2929250000079</v>
      </c>
      <c r="Q19" s="165">
        <f>SUM(E19:P19)</f>
        <v>42858.641412245153</v>
      </c>
      <c r="R19" s="160">
        <f t="shared" si="4"/>
        <v>-1878.0166622452016</v>
      </c>
      <c r="S19" s="161"/>
      <c r="T19" s="253">
        <f t="shared" si="16"/>
        <v>20609.332394445144</v>
      </c>
    </row>
    <row r="20" spans="1:39" s="116" customFormat="1" ht="24" customHeight="1">
      <c r="A20" s="133"/>
      <c r="B20" s="134" t="s">
        <v>23</v>
      </c>
      <c r="C20" s="144">
        <v>0.65359999999999996</v>
      </c>
      <c r="D20" s="142">
        <v>34544.393999999993</v>
      </c>
      <c r="E20" s="145">
        <f t="shared" ref="E20" si="21">$C20*E35</f>
        <v>2571.3016159999997</v>
      </c>
      <c r="F20" s="145">
        <f t="shared" ref="F20" si="22">$C20*F35</f>
        <v>2567.11204</v>
      </c>
      <c r="G20" s="145">
        <f t="shared" ref="G20" si="23">$C20*G35</f>
        <v>2579.8180239999997</v>
      </c>
      <c r="H20" s="145">
        <f t="shared" ref="H20" si="24">$C20*H35</f>
        <v>2493.3532799999998</v>
      </c>
      <c r="I20" s="145">
        <f t="shared" ref="I20" si="25">$C20*I35</f>
        <v>2362.7127175384617</v>
      </c>
      <c r="J20" s="145">
        <f t="shared" ref="J20" si="26">$C20*J35</f>
        <v>2282.4657206153843</v>
      </c>
      <c r="K20" s="145">
        <f t="shared" ref="K20" si="27">$C20*K35</f>
        <v>2673.3698030769228</v>
      </c>
      <c r="L20" s="145">
        <f t="shared" ref="L20" si="28">$C20*L35</f>
        <v>3196.3785119999998</v>
      </c>
      <c r="M20" s="145">
        <f t="shared" ref="M20" si="29">$C20*M35</f>
        <v>2998.4030719999996</v>
      </c>
      <c r="N20" s="145">
        <f t="shared" ref="N20" si="30">$C20*N35</f>
        <v>3094.6652799999997</v>
      </c>
      <c r="O20" s="145">
        <f t="shared" ref="O20" si="31">$C20*O35</f>
        <v>3061.867632</v>
      </c>
      <c r="P20" s="145">
        <f t="shared" ref="P20" si="32">$C20*P35</f>
        <v>2878.9642079999894</v>
      </c>
      <c r="Q20" s="165">
        <f t="shared" ref="Q20" si="33">SUM(E20:P20)</f>
        <v>32760.411905230761</v>
      </c>
      <c r="R20" s="160">
        <f t="shared" si="4"/>
        <v>1783.9820947692315</v>
      </c>
      <c r="S20" s="161"/>
      <c r="T20" s="253">
        <f t="shared" si="16"/>
        <v>14856.763398153844</v>
      </c>
    </row>
    <row r="21" spans="1:39" s="116" customFormat="1" ht="24" customHeight="1">
      <c r="A21" s="133"/>
      <c r="B21" s="134" t="s">
        <v>24</v>
      </c>
      <c r="C21" s="144">
        <v>0.70399999999999996</v>
      </c>
      <c r="D21" s="142">
        <v>8425.6128000000008</v>
      </c>
      <c r="E21" s="145">
        <f t="shared" ref="E21:P21" si="34">$C21*E36</f>
        <v>775.66015999999991</v>
      </c>
      <c r="F21" s="145">
        <f t="shared" si="34"/>
        <v>742.45952</v>
      </c>
      <c r="G21" s="145">
        <f t="shared" si="34"/>
        <v>717.2704</v>
      </c>
      <c r="H21" s="145">
        <f t="shared" si="34"/>
        <v>743.89567999999997</v>
      </c>
      <c r="I21" s="145">
        <f t="shared" si="34"/>
        <v>687.4559999999999</v>
      </c>
      <c r="J21" s="145">
        <f t="shared" si="34"/>
        <v>641.81568000000004</v>
      </c>
      <c r="K21" s="145">
        <f t="shared" si="34"/>
        <v>785.66399999999999</v>
      </c>
      <c r="L21" s="145">
        <f t="shared" si="34"/>
        <v>785.66399999999999</v>
      </c>
      <c r="M21" s="145">
        <f t="shared" si="34"/>
        <v>684.28800000000001</v>
      </c>
      <c r="N21" s="145">
        <f t="shared" si="34"/>
        <v>707.09760000000006</v>
      </c>
      <c r="O21" s="145">
        <f t="shared" si="34"/>
        <v>591.36</v>
      </c>
      <c r="P21" s="145">
        <f t="shared" si="34"/>
        <v>562.98176000000001</v>
      </c>
      <c r="Q21" s="165">
        <f>SUM(E21:P21)</f>
        <v>8425.612799999999</v>
      </c>
      <c r="R21" s="160">
        <f t="shared" si="4"/>
        <v>0</v>
      </c>
      <c r="S21" s="161"/>
      <c r="T21" s="253">
        <f t="shared" si="16"/>
        <v>4308.5574399999996</v>
      </c>
    </row>
    <row r="22" spans="1:39" s="116" customFormat="1" ht="24" customHeight="1">
      <c r="A22" s="133"/>
      <c r="B22" s="134" t="s">
        <v>25</v>
      </c>
      <c r="C22" s="144">
        <v>0.86760000000000004</v>
      </c>
      <c r="D22" s="142">
        <v>22507.279200000004</v>
      </c>
      <c r="E22" s="145">
        <f t="shared" ref="E22:P22" si="35">$C22*E37</f>
        <v>1274.5564560000003</v>
      </c>
      <c r="F22" s="145">
        <f t="shared" si="35"/>
        <v>1220.0017680000001</v>
      </c>
      <c r="G22" s="145">
        <f t="shared" si="35"/>
        <v>1178.6114640000001</v>
      </c>
      <c r="H22" s="145">
        <f t="shared" si="35"/>
        <v>1222.350072</v>
      </c>
      <c r="I22" s="145">
        <f t="shared" si="35"/>
        <v>1129.6152</v>
      </c>
      <c r="J22" s="145">
        <f t="shared" si="35"/>
        <v>1054.6140720000001</v>
      </c>
      <c r="K22" s="145">
        <f t="shared" si="35"/>
        <v>1290.9888000000001</v>
      </c>
      <c r="L22" s="145">
        <f t="shared" si="35"/>
        <v>2259.2303999999999</v>
      </c>
      <c r="M22" s="145">
        <f t="shared" si="35"/>
        <v>1967.7168000000001</v>
      </c>
      <c r="N22" s="145">
        <f t="shared" si="35"/>
        <v>2033.3073600000005</v>
      </c>
      <c r="O22" s="145">
        <f t="shared" si="35"/>
        <v>1700.4960000000003</v>
      </c>
      <c r="P22" s="145">
        <f t="shared" si="35"/>
        <v>1667.6746920000001</v>
      </c>
      <c r="Q22" s="165">
        <f>SUM(E22:P22)</f>
        <v>17999.163084000003</v>
      </c>
      <c r="R22" s="160">
        <f t="shared" si="4"/>
        <v>4508.1161160000011</v>
      </c>
      <c r="S22" s="161"/>
      <c r="T22" s="253">
        <f t="shared" si="16"/>
        <v>7079.7490320000006</v>
      </c>
    </row>
    <row r="23" spans="1:39" s="116" customFormat="1" ht="24" customHeight="1">
      <c r="A23" s="129">
        <v>5</v>
      </c>
      <c r="B23" s="139" t="s">
        <v>31</v>
      </c>
      <c r="C23" s="129" t="s">
        <v>32</v>
      </c>
      <c r="D23" s="146">
        <f>D24+D25+D26+D27</f>
        <v>1045.2667958017348</v>
      </c>
      <c r="E23" s="147">
        <f>SUM(E24:E27)</f>
        <v>77.922511677973418</v>
      </c>
      <c r="F23" s="147">
        <f t="shared" ref="F23" si="36">SUM(F24:F27)</f>
        <v>76.918878672879245</v>
      </c>
      <c r="G23" s="147">
        <f t="shared" ref="G23:P23" si="37">SUM(G24:G27)</f>
        <v>76.507269660061567</v>
      </c>
      <c r="H23" s="147">
        <f t="shared" si="37"/>
        <v>76.62721149807912</v>
      </c>
      <c r="I23" s="147">
        <f t="shared" si="37"/>
        <v>74.228658794490087</v>
      </c>
      <c r="J23" s="147">
        <f t="shared" si="37"/>
        <v>72.623441963568638</v>
      </c>
      <c r="K23" s="147">
        <f t="shared" si="37"/>
        <v>85.992531177432895</v>
      </c>
      <c r="L23" s="147">
        <f t="shared" si="37"/>
        <v>96.528247900200299</v>
      </c>
      <c r="M23" s="147">
        <f t="shared" si="37"/>
        <v>89.018084658204174</v>
      </c>
      <c r="N23" s="147">
        <f t="shared" si="37"/>
        <v>94.432240874473834</v>
      </c>
      <c r="O23" s="147">
        <f t="shared" si="37"/>
        <v>89.12834075933614</v>
      </c>
      <c r="P23" s="147">
        <f t="shared" si="37"/>
        <v>84.44975514839372</v>
      </c>
      <c r="Q23" s="147">
        <f>SUM(Q24:Q27)</f>
        <v>994.37717278509308</v>
      </c>
      <c r="R23" s="160">
        <f>D23-Q23</f>
        <v>50.889623016641735</v>
      </c>
      <c r="S23" s="161"/>
      <c r="T23" s="253">
        <f t="shared" si="16"/>
        <v>454.82797226705213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>
        <f>X23-[1]分月!X23</f>
        <v>0</v>
      </c>
    </row>
    <row r="24" spans="1:39" s="116" customFormat="1" ht="24" customHeight="1">
      <c r="A24" s="133"/>
      <c r="B24" s="134" t="s">
        <v>22</v>
      </c>
      <c r="C24" s="135"/>
      <c r="D24" s="148">
        <v>325.10948409882297</v>
      </c>
      <c r="E24" s="149">
        <f>$C14*E39*E44/10000</f>
        <v>26.678783023477603</v>
      </c>
      <c r="F24" s="149">
        <f t="shared" ref="F24" si="38">$C14*F39*F44/10000</f>
        <v>26.635293359224818</v>
      </c>
      <c r="G24" s="149">
        <f t="shared" ref="G24:N24" si="39">$C14*G39*G44/10000</f>
        <v>26.767105086042395</v>
      </c>
      <c r="H24" s="149">
        <f t="shared" si="39"/>
        <v>27.163510018871243</v>
      </c>
      <c r="I24" s="149">
        <f t="shared" si="39"/>
        <v>27.835926209881908</v>
      </c>
      <c r="J24" s="149">
        <f t="shared" si="39"/>
        <v>28.418339755053601</v>
      </c>
      <c r="K24" s="149">
        <f t="shared" si="39"/>
        <v>33.285303141858783</v>
      </c>
      <c r="L24" s="149">
        <f t="shared" si="39"/>
        <v>28.062097489864058</v>
      </c>
      <c r="M24" s="149">
        <f t="shared" si="39"/>
        <v>26.888100344049274</v>
      </c>
      <c r="N24" s="149">
        <f t="shared" si="39"/>
        <v>30.274177256161657</v>
      </c>
      <c r="O24" s="149">
        <f>$C14*O39*O44/10000</f>
        <v>29.953263815998024</v>
      </c>
      <c r="P24" s="206">
        <f>$C14*P39*P44/10000</f>
        <v>28.046357662836108</v>
      </c>
      <c r="Q24" s="166">
        <f>SUM(E24:P24)</f>
        <v>340.00825716331946</v>
      </c>
      <c r="R24" s="213">
        <f>D24-Q24</f>
        <v>-14.898773064496481</v>
      </c>
      <c r="S24" s="161">
        <v>-0.39955502474526799</v>
      </c>
      <c r="T24" s="253">
        <f t="shared" si="16"/>
        <v>163.49895745255156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>
        <f>X24-[1]分月!X24</f>
        <v>0</v>
      </c>
    </row>
    <row r="25" spans="1:39" s="116" customFormat="1" ht="24" customHeight="1">
      <c r="A25" s="133"/>
      <c r="B25" s="134" t="s">
        <v>23</v>
      </c>
      <c r="C25" s="135"/>
      <c r="D25" s="148">
        <v>402.39565559794499</v>
      </c>
      <c r="E25" s="149">
        <f>$C15*E40*E45/10000</f>
        <v>29.952200044683799</v>
      </c>
      <c r="F25" s="149">
        <f>$C15*F40*F45/10000</f>
        <v>29.903397128031177</v>
      </c>
      <c r="G25" s="149">
        <f>$C15*G40*G45/10000</f>
        <v>30.051404725492485</v>
      </c>
      <c r="H25" s="149">
        <f t="shared" ref="H25" si="40">$C15*H40*H45/10000</f>
        <v>29.04420693392062</v>
      </c>
      <c r="I25" s="149">
        <f t="shared" ref="I25" si="41">$C15*I40*I45/10000</f>
        <v>27.522420366195774</v>
      </c>
      <c r="J25" s="149">
        <f t="shared" ref="J25" si="42">$C15*J40*J45/10000</f>
        <v>26.587650952188152</v>
      </c>
      <c r="K25" s="149">
        <f t="shared" ref="K25" si="43">$C15*K40*K45/10000</f>
        <v>31.141156928817072</v>
      </c>
      <c r="L25" s="149">
        <f t="shared" ref="L25" si="44">$C15*L40*L45/10000</f>
        <v>37.233503846540863</v>
      </c>
      <c r="M25" s="149">
        <f t="shared" ref="M25" si="45">$C15*M40*M45/10000</f>
        <v>34.927356661817001</v>
      </c>
      <c r="N25" s="149">
        <f t="shared" ref="N25" si="46">$C15*N40*N45/10000</f>
        <v>36.048681710896339</v>
      </c>
      <c r="O25" s="149">
        <f t="shared" ref="O25" si="47">$C15*O40*O45/10000</f>
        <v>35.666633293169554</v>
      </c>
      <c r="P25" s="206">
        <f>$C15*P40*P45/10000</f>
        <v>33.536054791442389</v>
      </c>
      <c r="Q25" s="166">
        <f>SUM(E25:P25)</f>
        <v>381.61466738319524</v>
      </c>
      <c r="R25" s="213">
        <f t="shared" si="4"/>
        <v>20.780988214749755</v>
      </c>
      <c r="S25" s="161">
        <v>-6.8198259808809794E-2</v>
      </c>
      <c r="T25" s="253">
        <f t="shared" si="16"/>
        <v>173.061280150512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>
        <f>X25-[1]分月!X25</f>
        <v>0</v>
      </c>
    </row>
    <row r="26" spans="1:39" s="116" customFormat="1" ht="24" customHeight="1">
      <c r="A26" s="133"/>
      <c r="B26" s="134" t="s">
        <v>24</v>
      </c>
      <c r="C26" s="135"/>
      <c r="D26" s="148">
        <v>93.057085758651098</v>
      </c>
      <c r="E26" s="149">
        <f>$C16*E41*E46/10000</f>
        <v>8.5668159387396727</v>
      </c>
      <c r="F26" s="149">
        <f>$C16*F41*F46/10000</f>
        <v>8.2001298736356496</v>
      </c>
      <c r="G26" s="149">
        <f>$C16*G41*G46/10000</f>
        <v>7.9219274264468895</v>
      </c>
      <c r="H26" s="149">
        <f t="shared" ref="H26:O27" si="48">$C16*H41*H46/10000</f>
        <v>8.2159916118208134</v>
      </c>
      <c r="I26" s="149">
        <f t="shared" si="48"/>
        <v>7.5926408518676824</v>
      </c>
      <c r="J26" s="149">
        <f t="shared" si="48"/>
        <v>7.0885641427774813</v>
      </c>
      <c r="K26" s="149">
        <f t="shared" si="48"/>
        <v>8.6773038307059203</v>
      </c>
      <c r="L26" s="149">
        <f t="shared" si="48"/>
        <v>8.6773038307059203</v>
      </c>
      <c r="M26" s="149">
        <f t="shared" si="48"/>
        <v>7.5576517235180622</v>
      </c>
      <c r="N26" s="149">
        <f t="shared" si="48"/>
        <v>7.80957344763533</v>
      </c>
      <c r="O26" s="149">
        <f t="shared" si="48"/>
        <v>6.5313039585958537</v>
      </c>
      <c r="P26" s="206">
        <f>$C16*P41*P46/10000</f>
        <v>6.2178791222018077</v>
      </c>
      <c r="Q26" s="166">
        <f>SUM(E26:P26)</f>
        <v>93.057085758651084</v>
      </c>
      <c r="R26" s="213">
        <f t="shared" si="4"/>
        <v>0</v>
      </c>
      <c r="S26" s="161">
        <v>1.02146118147175E-2</v>
      </c>
      <c r="T26" s="253">
        <f t="shared" si="16"/>
        <v>47.586069845288186</v>
      </c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>
        <f>X26-[1]分月!X26</f>
        <v>0</v>
      </c>
    </row>
    <row r="27" spans="1:39" s="116" customFormat="1" ht="24" customHeight="1">
      <c r="A27" s="133"/>
      <c r="B27" s="134" t="s">
        <v>25</v>
      </c>
      <c r="C27" s="135"/>
      <c r="D27" s="148">
        <v>224.70457034631585</v>
      </c>
      <c r="E27" s="149">
        <f>$C17*E42*E47/10000</f>
        <v>12.724712671072345</v>
      </c>
      <c r="F27" s="149">
        <f>$C17*F42*F47/10000</f>
        <v>12.180058311987604</v>
      </c>
      <c r="G27" s="149">
        <f t="shared" ref="G27" si="49">$C17*G42*G47/10000</f>
        <v>11.766832422079798</v>
      </c>
      <c r="H27" s="149">
        <f t="shared" si="48"/>
        <v>12.20350293346644</v>
      </c>
      <c r="I27" s="149">
        <f t="shared" si="48"/>
        <v>11.277671366544721</v>
      </c>
      <c r="J27" s="149">
        <f t="shared" si="48"/>
        <v>10.528887113549404</v>
      </c>
      <c r="K27" s="149">
        <f t="shared" si="48"/>
        <v>12.888767276051109</v>
      </c>
      <c r="L27" s="149">
        <f t="shared" si="48"/>
        <v>22.555342733089443</v>
      </c>
      <c r="M27" s="149">
        <f t="shared" si="48"/>
        <v>19.644975928819836</v>
      </c>
      <c r="N27" s="149">
        <f t="shared" si="48"/>
        <v>20.299808459780504</v>
      </c>
      <c r="O27" s="149">
        <f>$C17*O42*O47/10000</f>
        <v>16.977139691572702</v>
      </c>
      <c r="P27" s="206">
        <f>$C17*P42*P47/10000</f>
        <v>16.649463571913419</v>
      </c>
      <c r="Q27" s="166">
        <f>SUM(E27:P27)</f>
        <v>179.69716247992733</v>
      </c>
      <c r="R27" s="213">
        <f t="shared" si="4"/>
        <v>45.007407866388519</v>
      </c>
      <c r="S27" s="161">
        <v>-0.45443578134052098</v>
      </c>
      <c r="T27" s="253">
        <f t="shared" si="16"/>
        <v>70.681664818700312</v>
      </c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>
        <f>X27-[1]分月!X27</f>
        <v>0</v>
      </c>
    </row>
    <row r="28" spans="1:39" s="116" customFormat="1" ht="24" customHeight="1">
      <c r="A28" s="129">
        <v>6</v>
      </c>
      <c r="B28" s="139" t="s">
        <v>33</v>
      </c>
      <c r="C28" s="129" t="s">
        <v>34</v>
      </c>
      <c r="D28" s="140">
        <f>D29+D30+D31+D32</f>
        <v>44662.082853212036</v>
      </c>
      <c r="E28" s="132">
        <f>SUM(E29:E32)</f>
        <v>3353.2518766850544</v>
      </c>
      <c r="F28" s="132">
        <f t="shared" ref="F28" si="50">SUM(F29:F32)</f>
        <v>3316.6777688516568</v>
      </c>
      <c r="G28" s="132">
        <f t="shared" ref="G28:P28" si="51">SUM(G29:G32)</f>
        <v>3304.9765062223264</v>
      </c>
      <c r="H28" s="132">
        <f t="shared" si="51"/>
        <v>3330.0931546534862</v>
      </c>
      <c r="I28" s="132">
        <f t="shared" si="51"/>
        <v>3278.805731799273</v>
      </c>
      <c r="J28" s="132">
        <f t="shared" si="51"/>
        <v>3247.9420119348911</v>
      </c>
      <c r="K28" s="132">
        <f t="shared" si="51"/>
        <v>3837.2445148608213</v>
      </c>
      <c r="L28" s="132">
        <f t="shared" si="51"/>
        <v>4076.1308849384836</v>
      </c>
      <c r="M28" s="132">
        <f t="shared" si="51"/>
        <v>3781.6763769296995</v>
      </c>
      <c r="N28" s="132">
        <f t="shared" si="51"/>
        <v>4073.1386822852719</v>
      </c>
      <c r="O28" s="132">
        <f t="shared" si="51"/>
        <v>3866.2516100591074</v>
      </c>
      <c r="P28" s="132">
        <f t="shared" si="51"/>
        <v>3659.2472166417228</v>
      </c>
      <c r="Q28" s="132">
        <f>SUM(Q29:Q32)</f>
        <v>43125.436335861799</v>
      </c>
      <c r="R28" s="160">
        <f t="shared" si="4"/>
        <v>1536.6465173502365</v>
      </c>
      <c r="S28" s="161"/>
      <c r="T28" s="253">
        <f t="shared" si="16"/>
        <v>19831.747050146689</v>
      </c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</row>
    <row r="29" spans="1:39" s="116" customFormat="1" ht="24" customHeight="1">
      <c r="A29" s="133"/>
      <c r="B29" s="134" t="s">
        <v>22</v>
      </c>
      <c r="C29" s="144">
        <v>0.49905883895139802</v>
      </c>
      <c r="D29" s="142">
        <v>21750.231848599298</v>
      </c>
      <c r="E29" s="145">
        <f>$C$29*E34</f>
        <v>1784.8440128025561</v>
      </c>
      <c r="F29" s="145">
        <f t="shared" ref="F29:P29" si="52">$C$29*F34</f>
        <v>1781.9344997714682</v>
      </c>
      <c r="G29" s="145">
        <f t="shared" si="52"/>
        <v>1790.7528694557409</v>
      </c>
      <c r="H29" s="145">
        <f t="shared" si="52"/>
        <v>1817.2728561576207</v>
      </c>
      <c r="I29" s="145">
        <f t="shared" si="52"/>
        <v>1862.2583418741444</v>
      </c>
      <c r="J29" s="145">
        <f t="shared" si="52"/>
        <v>1901.2225378106689</v>
      </c>
      <c r="K29" s="145">
        <f t="shared" si="52"/>
        <v>2226.8284866961194</v>
      </c>
      <c r="L29" s="145">
        <f t="shared" si="52"/>
        <v>1877.3894838977064</v>
      </c>
      <c r="M29" s="145">
        <f t="shared" si="52"/>
        <v>1798.8476038235351</v>
      </c>
      <c r="N29" s="145">
        <f t="shared" si="52"/>
        <v>2025.3803920003538</v>
      </c>
      <c r="O29" s="145">
        <f t="shared" si="52"/>
        <v>2003.9108807486646</v>
      </c>
      <c r="P29" s="145">
        <f t="shared" si="52"/>
        <v>1876.3364697475229</v>
      </c>
      <c r="Q29" s="165">
        <f>SUM(E29:P29)</f>
        <v>22746.978434786102</v>
      </c>
      <c r="R29" s="160">
        <f t="shared" si="4"/>
        <v>-996.74658618680405</v>
      </c>
      <c r="S29" s="161"/>
      <c r="T29" s="253">
        <f t="shared" si="16"/>
        <v>10938.285117872199</v>
      </c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</row>
    <row r="30" spans="1:39" s="116" customFormat="1" ht="24" customHeight="1">
      <c r="A30" s="133"/>
      <c r="B30" s="134" t="s">
        <v>23</v>
      </c>
      <c r="C30" s="144">
        <v>0.20661812762270801</v>
      </c>
      <c r="D30" s="142">
        <v>10920.284590179173</v>
      </c>
      <c r="E30" s="145">
        <f>$C$30*E35</f>
        <v>812.84811115539071</v>
      </c>
      <c r="F30" s="145">
        <f t="shared" ref="F30:O30" si="53">$C$30*F35</f>
        <v>811.52368895732911</v>
      </c>
      <c r="G30" s="145">
        <f t="shared" si="53"/>
        <v>815.54034535831454</v>
      </c>
      <c r="H30" s="145">
        <f t="shared" si="53"/>
        <v>788.2068332551064</v>
      </c>
      <c r="I30" s="145">
        <f t="shared" si="53"/>
        <v>746.90831977992229</v>
      </c>
      <c r="J30" s="145">
        <f t="shared" si="53"/>
        <v>721.54038181849091</v>
      </c>
      <c r="K30" s="145">
        <f t="shared" si="53"/>
        <v>845.11423371303772</v>
      </c>
      <c r="L30" s="145">
        <f t="shared" si="53"/>
        <v>1010.4494236886437</v>
      </c>
      <c r="M30" s="145">
        <f t="shared" si="53"/>
        <v>947.86479283172537</v>
      </c>
      <c r="N30" s="145">
        <f t="shared" si="53"/>
        <v>978.29551066799797</v>
      </c>
      <c r="O30" s="145">
        <f t="shared" si="53"/>
        <v>967.92741302389038</v>
      </c>
      <c r="P30" s="145">
        <f>$C$30*P35</f>
        <v>910.10739618994853</v>
      </c>
      <c r="Q30" s="165">
        <f t="shared" ref="Q30" si="54">SUM(E30:P30)</f>
        <v>10356.326450439798</v>
      </c>
      <c r="R30" s="160">
        <f>D30-Q30</f>
        <v>563.95813973937584</v>
      </c>
      <c r="S30" s="161"/>
      <c r="T30" s="253">
        <f t="shared" si="16"/>
        <v>4696.5676803245542</v>
      </c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</row>
    <row r="31" spans="1:39" s="116" customFormat="1" ht="24" customHeight="1">
      <c r="A31" s="133"/>
      <c r="B31" s="134" t="s">
        <v>24</v>
      </c>
      <c r="C31" s="144">
        <v>0.180389680929843</v>
      </c>
      <c r="D31" s="142">
        <v>2158.93977930455</v>
      </c>
      <c r="E31" s="145">
        <f t="shared" ref="E31:P31" si="55">$C31*E36</f>
        <v>198.75154655169172</v>
      </c>
      <c r="F31" s="145">
        <f t="shared" si="55"/>
        <v>190.24436919904034</v>
      </c>
      <c r="G31" s="145">
        <f t="shared" si="55"/>
        <v>183.79002641537056</v>
      </c>
      <c r="H31" s="145">
        <f t="shared" si="55"/>
        <v>190.61236414813723</v>
      </c>
      <c r="I31" s="145">
        <f t="shared" si="55"/>
        <v>176.15052342799169</v>
      </c>
      <c r="J31" s="145">
        <f t="shared" si="55"/>
        <v>164.45586041330998</v>
      </c>
      <c r="K31" s="145">
        <f t="shared" si="55"/>
        <v>201.3148839177048</v>
      </c>
      <c r="L31" s="145">
        <f t="shared" si="55"/>
        <v>201.3148839177048</v>
      </c>
      <c r="M31" s="145">
        <f t="shared" si="55"/>
        <v>175.33876986380741</v>
      </c>
      <c r="N31" s="145">
        <f t="shared" si="55"/>
        <v>181.18339552593434</v>
      </c>
      <c r="O31" s="145">
        <f t="shared" si="55"/>
        <v>151.52733198106813</v>
      </c>
      <c r="P31" s="145">
        <f t="shared" si="55"/>
        <v>144.25582394278615</v>
      </c>
      <c r="Q31" s="165">
        <f>SUM(E31:P31)</f>
        <v>2158.9397793045468</v>
      </c>
      <c r="R31" s="160">
        <f t="shared" si="4"/>
        <v>0</v>
      </c>
      <c r="S31" s="161"/>
      <c r="T31" s="253">
        <f t="shared" si="16"/>
        <v>1104.0046901555413</v>
      </c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</row>
    <row r="32" spans="1:39" s="116" customFormat="1" ht="24" customHeight="1">
      <c r="A32" s="133"/>
      <c r="B32" s="134" t="s">
        <v>25</v>
      </c>
      <c r="C32" s="144">
        <v>0.37902346138034898</v>
      </c>
      <c r="D32" s="142">
        <v>9832.6266351290142</v>
      </c>
      <c r="E32" s="145">
        <f t="shared" ref="E32:P32" si="56">$C32*E37</f>
        <v>556.80820617541553</v>
      </c>
      <c r="F32" s="145">
        <f t="shared" si="56"/>
        <v>532.97521092381919</v>
      </c>
      <c r="G32" s="145">
        <f t="shared" si="56"/>
        <v>514.89326499290064</v>
      </c>
      <c r="H32" s="145">
        <f t="shared" si="56"/>
        <v>534.00110109262187</v>
      </c>
      <c r="I32" s="145">
        <f t="shared" si="56"/>
        <v>493.48854671721438</v>
      </c>
      <c r="J32" s="145">
        <f t="shared" si="56"/>
        <v>460.7232318924211</v>
      </c>
      <c r="K32" s="145">
        <f t="shared" si="56"/>
        <v>563.9869105339593</v>
      </c>
      <c r="L32" s="145">
        <f t="shared" si="56"/>
        <v>986.97709343442875</v>
      </c>
      <c r="M32" s="145">
        <f t="shared" si="56"/>
        <v>859.62521041063144</v>
      </c>
      <c r="N32" s="145">
        <f t="shared" si="56"/>
        <v>888.27938409098601</v>
      </c>
      <c r="O32" s="145">
        <f t="shared" si="56"/>
        <v>742.88598430548404</v>
      </c>
      <c r="P32" s="145">
        <f t="shared" si="56"/>
        <v>728.54752676146541</v>
      </c>
      <c r="Q32" s="165">
        <f>SUM(E32:P32)</f>
        <v>7863.1916713313485</v>
      </c>
      <c r="R32" s="160">
        <f t="shared" si="4"/>
        <v>1969.4349637976657</v>
      </c>
      <c r="S32" s="161"/>
      <c r="T32" s="253">
        <f t="shared" si="16"/>
        <v>3092.8895617943926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</row>
    <row r="33" spans="1:31" s="116" customFormat="1" ht="24" customHeight="1">
      <c r="A33" s="129">
        <v>7</v>
      </c>
      <c r="B33" s="139" t="s">
        <v>35</v>
      </c>
      <c r="C33" s="129" t="s">
        <v>36</v>
      </c>
      <c r="D33" s="140">
        <f>D34+D35+D36+D37</f>
        <v>134345.19999999995</v>
      </c>
      <c r="E33" s="129">
        <f>SUM(E34:E37)</f>
        <v>10081.329999999993</v>
      </c>
      <c r="F33" s="129">
        <f>SUM(F34:F37)</f>
        <v>9959.049999999992</v>
      </c>
      <c r="G33" s="129">
        <f t="shared" ref="G33:Q33" si="57">SUM(G34:G37)</f>
        <v>9912.6733333333286</v>
      </c>
      <c r="H33" s="129">
        <f>SUM(H34:H37)</f>
        <v>9921.7566666666662</v>
      </c>
      <c r="I33" s="129">
        <f>SUM(I34:I37)</f>
        <v>9624.9621836228289</v>
      </c>
      <c r="J33" s="129">
        <f t="shared" si="57"/>
        <v>9428.9839487179488</v>
      </c>
      <c r="K33" s="129">
        <f>SUM(K34:K37)</f>
        <v>11156.279076923078</v>
      </c>
      <c r="L33" s="129">
        <f>SUM(L34:L37)</f>
        <v>12372.28</v>
      </c>
      <c r="M33" s="129">
        <f t="shared" si="57"/>
        <v>11432</v>
      </c>
      <c r="N33" s="129">
        <f>SUM(N34:N37)</f>
        <v>12141.2</v>
      </c>
      <c r="O33" s="129">
        <f>SUM(O34:O37)</f>
        <v>11500</v>
      </c>
      <c r="P33" s="129">
        <f>SUM(P34:P37)</f>
        <v>10886.389999999992</v>
      </c>
      <c r="Q33" s="129">
        <f t="shared" si="57"/>
        <v>128416.90520926382</v>
      </c>
      <c r="R33" s="246">
        <f>D33-Q33</f>
        <v>5928.2947907361377</v>
      </c>
      <c r="S33" s="161"/>
      <c r="T33" s="253">
        <f t="shared" si="16"/>
        <v>58928.75613234075</v>
      </c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</row>
    <row r="34" spans="1:31" s="116" customFormat="1" ht="24" customHeight="1">
      <c r="A34" s="133"/>
      <c r="B34" s="134" t="s">
        <v>22</v>
      </c>
      <c r="C34" s="135"/>
      <c r="D34" s="142">
        <v>43582.499999999949</v>
      </c>
      <c r="E34" s="145">
        <f>E$2*E9*E54</f>
        <v>3576.4199999999942</v>
      </c>
      <c r="F34" s="145">
        <f t="shared" ref="F34" si="58">F$2*F9*F54</f>
        <v>3570.589999999992</v>
      </c>
      <c r="G34" s="145">
        <f t="shared" ref="G34:P34" si="59">G$2*G9*G54</f>
        <v>3588.2599999999948</v>
      </c>
      <c r="H34" s="145">
        <f t="shared" si="59"/>
        <v>3641.4</v>
      </c>
      <c r="I34" s="145">
        <f t="shared" si="59"/>
        <v>3731.5406451612907</v>
      </c>
      <c r="J34" s="145">
        <f t="shared" si="59"/>
        <v>3809.6159999999995</v>
      </c>
      <c r="K34" s="145">
        <f t="shared" si="59"/>
        <v>4462.0560000000005</v>
      </c>
      <c r="L34" s="145">
        <f t="shared" si="59"/>
        <v>3761.8600000000006</v>
      </c>
      <c r="M34" s="145">
        <f t="shared" si="59"/>
        <v>3604.48</v>
      </c>
      <c r="N34" s="145">
        <f t="shared" si="59"/>
        <v>4058.4</v>
      </c>
      <c r="O34" s="145">
        <f t="shared" si="59"/>
        <v>4015.38</v>
      </c>
      <c r="P34" s="145">
        <f t="shared" si="59"/>
        <v>3759.7500000000082</v>
      </c>
      <c r="Q34" s="163">
        <f t="shared" ref="Q34" si="60">SUM(E34:P34)</f>
        <v>45579.752645161279</v>
      </c>
      <c r="R34" s="214">
        <f>D34-Q34</f>
        <v>-1997.2526451613303</v>
      </c>
      <c r="S34" s="161"/>
      <c r="T34" s="253">
        <f t="shared" si="16"/>
        <v>21917.826645161269</v>
      </c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</row>
    <row r="35" spans="1:31" s="116" customFormat="1" ht="24" customHeight="1">
      <c r="A35" s="133"/>
      <c r="B35" s="134" t="s">
        <v>23</v>
      </c>
      <c r="C35" s="135"/>
      <c r="D35" s="142">
        <v>52852.499999999993</v>
      </c>
      <c r="E35" s="145">
        <f t="shared" ref="E35" si="61">E$2*E10*E55</f>
        <v>3934.06</v>
      </c>
      <c r="F35" s="145">
        <f t="shared" ref="F35" si="62">F$2*F10*F55</f>
        <v>3927.65</v>
      </c>
      <c r="G35" s="145">
        <f t="shared" ref="G35:P35" si="63">G$2*G10*G55</f>
        <v>3947.0899999999997</v>
      </c>
      <c r="H35" s="145">
        <f t="shared" si="63"/>
        <v>3814.7999999999997</v>
      </c>
      <c r="I35" s="145">
        <f t="shared" si="63"/>
        <v>3614.9215384615391</v>
      </c>
      <c r="J35" s="145">
        <f t="shared" si="63"/>
        <v>3492.144615384615</v>
      </c>
      <c r="K35" s="145">
        <f t="shared" si="63"/>
        <v>4090.2230769230769</v>
      </c>
      <c r="L35" s="145">
        <f t="shared" si="63"/>
        <v>4890.42</v>
      </c>
      <c r="M35" s="145">
        <f t="shared" si="63"/>
        <v>4587.5199999999995</v>
      </c>
      <c r="N35" s="145">
        <f t="shared" si="63"/>
        <v>4734.8</v>
      </c>
      <c r="O35" s="145">
        <f t="shared" si="63"/>
        <v>4684.62</v>
      </c>
      <c r="P35" s="145">
        <f t="shared" si="63"/>
        <v>4404.7799999999843</v>
      </c>
      <c r="Q35" s="163">
        <f>SUM(E35:P35)</f>
        <v>50123.029230769214</v>
      </c>
      <c r="R35" s="214">
        <f t="shared" si="4"/>
        <v>2729.4707692307784</v>
      </c>
      <c r="S35" s="161"/>
      <c r="T35" s="253">
        <f t="shared" si="16"/>
        <v>22730.666153846152</v>
      </c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</row>
    <row r="36" spans="1:31" s="116" customFormat="1" ht="24" customHeight="1">
      <c r="A36" s="133"/>
      <c r="B36" s="134" t="s">
        <v>24</v>
      </c>
      <c r="C36" s="135"/>
      <c r="D36" s="142">
        <v>11968.2</v>
      </c>
      <c r="E36" s="145">
        <f t="shared" ref="E36" si="64">E$2*E11*E56</f>
        <v>1101.79</v>
      </c>
      <c r="F36" s="145">
        <f>F$2*F11*F56</f>
        <v>1054.6300000000001</v>
      </c>
      <c r="G36" s="145">
        <f t="shared" ref="G36:P36" si="65">G$2*G11*G56</f>
        <v>1018.85</v>
      </c>
      <c r="H36" s="145">
        <f t="shared" si="65"/>
        <v>1056.67</v>
      </c>
      <c r="I36" s="145">
        <f t="shared" si="65"/>
        <v>976.5</v>
      </c>
      <c r="J36" s="145">
        <f t="shared" si="65"/>
        <v>911.67000000000007</v>
      </c>
      <c r="K36" s="145">
        <f t="shared" si="65"/>
        <v>1116</v>
      </c>
      <c r="L36" s="145">
        <f t="shared" si="65"/>
        <v>1116</v>
      </c>
      <c r="M36" s="145">
        <f t="shared" si="65"/>
        <v>972.00000000000011</v>
      </c>
      <c r="N36" s="145">
        <f t="shared" si="65"/>
        <v>1004.4000000000001</v>
      </c>
      <c r="O36" s="145">
        <f t="shared" si="65"/>
        <v>840</v>
      </c>
      <c r="P36" s="145">
        <f t="shared" si="65"/>
        <v>799.69</v>
      </c>
      <c r="Q36" s="163">
        <f>SUM(E36:P36)</f>
        <v>11968.2</v>
      </c>
      <c r="R36" s="214">
        <f t="shared" si="4"/>
        <v>0</v>
      </c>
      <c r="S36" s="161"/>
      <c r="T36" s="253">
        <f t="shared" si="16"/>
        <v>6120.1100000000006</v>
      </c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</row>
    <row r="37" spans="1:31" s="116" customFormat="1" ht="24" customHeight="1">
      <c r="A37" s="133"/>
      <c r="B37" s="134" t="s">
        <v>25</v>
      </c>
      <c r="C37" s="135"/>
      <c r="D37" s="142">
        <v>25942.000000000004</v>
      </c>
      <c r="E37" s="145">
        <f t="shared" ref="E37" si="66">E$2*E12*E57</f>
        <v>1469.0600000000002</v>
      </c>
      <c r="F37" s="145">
        <f>F$2*F12*F57</f>
        <v>1406.18</v>
      </c>
      <c r="G37" s="145">
        <f t="shared" ref="G37:P37" si="67">G$2*G12*G57</f>
        <v>1358.4733333333334</v>
      </c>
      <c r="H37" s="145">
        <f t="shared" si="67"/>
        <v>1408.8866666666665</v>
      </c>
      <c r="I37" s="145">
        <f t="shared" si="67"/>
        <v>1302</v>
      </c>
      <c r="J37" s="145">
        <f t="shared" si="67"/>
        <v>1215.5533333333333</v>
      </c>
      <c r="K37" s="145">
        <f t="shared" si="67"/>
        <v>1488</v>
      </c>
      <c r="L37" s="145">
        <f t="shared" si="67"/>
        <v>2604</v>
      </c>
      <c r="M37" s="145">
        <f t="shared" si="67"/>
        <v>2268</v>
      </c>
      <c r="N37" s="145">
        <f t="shared" si="67"/>
        <v>2343.6000000000004</v>
      </c>
      <c r="O37" s="145">
        <f t="shared" si="67"/>
        <v>1960.0000000000002</v>
      </c>
      <c r="P37" s="145">
        <f t="shared" si="67"/>
        <v>1922.17</v>
      </c>
      <c r="Q37" s="163">
        <f>SUM(E37:P37)</f>
        <v>20745.923333333332</v>
      </c>
      <c r="R37" s="246">
        <f t="shared" si="4"/>
        <v>5196.0766666666714</v>
      </c>
      <c r="S37" s="161"/>
      <c r="T37" s="253">
        <f t="shared" si="16"/>
        <v>8160.1533333333327</v>
      </c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</row>
    <row r="38" spans="1:31" s="116" customFormat="1" ht="24" customHeight="1">
      <c r="A38" s="129">
        <v>8</v>
      </c>
      <c r="B38" s="139" t="s">
        <v>37</v>
      </c>
      <c r="C38" s="129" t="s">
        <v>38</v>
      </c>
      <c r="D38" s="129">
        <f>SUM(D39:D42)</f>
        <v>75677.137965754519</v>
      </c>
      <c r="E38" s="129">
        <f>SUM(E39:E42)</f>
        <v>5658.8734647207039</v>
      </c>
      <c r="F38" s="129">
        <f t="shared" ref="F38" si="68">SUM(F39:F42)</f>
        <v>5586.3818982975463</v>
      </c>
      <c r="G38" s="129">
        <f t="shared" ref="G38:P38" si="69">SUM(G39:G42)</f>
        <v>5556.8482358990113</v>
      </c>
      <c r="H38" s="129">
        <f t="shared" si="69"/>
        <v>5553.6960941717643</v>
      </c>
      <c r="I38" s="129">
        <f t="shared" si="69"/>
        <v>5362.1394348619069</v>
      </c>
      <c r="J38" s="129">
        <f t="shared" si="69"/>
        <v>5233.5640214855903</v>
      </c>
      <c r="K38" s="129">
        <f t="shared" si="69"/>
        <v>6197.1001526670352</v>
      </c>
      <c r="L38" s="129">
        <f t="shared" si="69"/>
        <v>6995.5282577491043</v>
      </c>
      <c r="M38" s="129">
        <f t="shared" si="69"/>
        <v>6450.8766989393844</v>
      </c>
      <c r="N38" s="129">
        <f t="shared" si="69"/>
        <v>6821.6748400243778</v>
      </c>
      <c r="O38" s="129">
        <f t="shared" si="69"/>
        <v>6446.6135374549976</v>
      </c>
      <c r="P38" s="129">
        <f t="shared" si="69"/>
        <v>6105.7257877459369</v>
      </c>
      <c r="Q38" s="129">
        <f>SUM(Q39:Q42)</f>
        <v>71969.022424017356</v>
      </c>
      <c r="R38" s="160">
        <f t="shared" ref="R38:R66" si="70">D38-Q38</f>
        <v>3708.1155417371629</v>
      </c>
      <c r="S38" s="161"/>
      <c r="T38" s="253">
        <f t="shared" si="16"/>
        <v>32951.503149436518</v>
      </c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</row>
    <row r="39" spans="1:31" s="116" customFormat="1" ht="24" customHeight="1">
      <c r="A39" s="133"/>
      <c r="B39" s="134" t="s">
        <v>22</v>
      </c>
      <c r="C39" s="144">
        <v>2.0961416883599799</v>
      </c>
      <c r="D39" s="150">
        <v>20791.771969431498</v>
      </c>
      <c r="E39" s="151">
        <f>E34/$C$39</f>
        <v>1706.1919143443893</v>
      </c>
      <c r="F39" s="151">
        <f t="shared" ref="F39:P39" si="71">F34/$C$39</f>
        <v>1703.4106138090406</v>
      </c>
      <c r="G39" s="151">
        <f t="shared" si="71"/>
        <v>1711.8403874727796</v>
      </c>
      <c r="H39" s="151">
        <f t="shared" si="71"/>
        <v>1737.1917271723312</v>
      </c>
      <c r="I39" s="151">
        <f t="shared" si="71"/>
        <v>1780.1948531832531</v>
      </c>
      <c r="J39" s="151">
        <f t="shared" si="71"/>
        <v>1817.4420274903464</v>
      </c>
      <c r="K39" s="151">
        <f>K34/$C$39</f>
        <v>2128.6996126159347</v>
      </c>
      <c r="L39" s="151">
        <f t="shared" si="71"/>
        <v>1794.6592164498563</v>
      </c>
      <c r="M39" s="151">
        <f t="shared" si="71"/>
        <v>1719.5784140050871</v>
      </c>
      <c r="N39" s="151">
        <f t="shared" si="71"/>
        <v>1936.1286608326986</v>
      </c>
      <c r="O39" s="151">
        <f t="shared" si="71"/>
        <v>1915.6052390435643</v>
      </c>
      <c r="P39" s="151">
        <f t="shared" si="71"/>
        <v>1793.6526051068784</v>
      </c>
      <c r="Q39" s="168">
        <f t="shared" ref="Q39" si="72">SUM(E39:P39)</f>
        <v>21744.595271526163</v>
      </c>
      <c r="R39" s="160">
        <f t="shared" si="70"/>
        <v>-952.82330209466454</v>
      </c>
      <c r="S39" s="161">
        <v>1.3258898964013499</v>
      </c>
      <c r="T39" s="253">
        <f t="shared" si="16"/>
        <v>10456.27152347214</v>
      </c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</row>
    <row r="40" spans="1:31" s="116" customFormat="1" ht="24" customHeight="1">
      <c r="A40" s="133"/>
      <c r="B40" s="134" t="s">
        <v>23</v>
      </c>
      <c r="C40" s="144">
        <v>1.6283230039168499</v>
      </c>
      <c r="D40" s="150">
        <v>32458.240700933398</v>
      </c>
      <c r="E40" s="151">
        <f>E35/$C$40</f>
        <v>2416.0194203096157</v>
      </c>
      <c r="F40" s="151">
        <f t="shared" ref="F40:P40" si="73">F35/$C$40</f>
        <v>2412.0828549079229</v>
      </c>
      <c r="G40" s="151">
        <f t="shared" si="73"/>
        <v>2424.021518154243</v>
      </c>
      <c r="H40" s="151">
        <f t="shared" si="73"/>
        <v>2342.778423460019</v>
      </c>
      <c r="I40" s="151">
        <f t="shared" si="73"/>
        <v>2220.0273101626799</v>
      </c>
      <c r="J40" s="151">
        <f t="shared" si="73"/>
        <v>2144.6264696773519</v>
      </c>
      <c r="K40" s="151">
        <f t="shared" si="73"/>
        <v>2511.923658318558</v>
      </c>
      <c r="L40" s="151">
        <f t="shared" si="73"/>
        <v>3003.3476086970081</v>
      </c>
      <c r="M40" s="151">
        <f t="shared" si="73"/>
        <v>2817.3280049258951</v>
      </c>
      <c r="N40" s="151">
        <f t="shared" si="73"/>
        <v>2907.7768898496643</v>
      </c>
      <c r="O40" s="151">
        <f t="shared" si="73"/>
        <v>2876.9599082807158</v>
      </c>
      <c r="P40" s="151">
        <f t="shared" si="73"/>
        <v>2705.1021138954038</v>
      </c>
      <c r="Q40" s="168">
        <f>SUM(E40:P40)</f>
        <v>30781.994180639078</v>
      </c>
      <c r="R40" s="160">
        <f t="shared" si="70"/>
        <v>1676.2465202943204</v>
      </c>
      <c r="S40" s="161">
        <v>2.0179278786417898</v>
      </c>
      <c r="T40" s="253">
        <f t="shared" si="16"/>
        <v>13959.555996671834</v>
      </c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</row>
    <row r="41" spans="1:31" s="116" customFormat="1" ht="24" customHeight="1">
      <c r="A41" s="133"/>
      <c r="B41" s="134" t="s">
        <v>24</v>
      </c>
      <c r="C41" s="144">
        <v>1.5903080949601101</v>
      </c>
      <c r="D41" s="150">
        <v>7525.7115510691037</v>
      </c>
      <c r="E41" s="151">
        <f>E36/$C$41</f>
        <v>692.81543839946073</v>
      </c>
      <c r="F41" s="151">
        <f t="shared" ref="F41:P41" si="74">F36/$C$41</f>
        <v>663.16080723116329</v>
      </c>
      <c r="G41" s="151">
        <f t="shared" si="74"/>
        <v>640.66202217599607</v>
      </c>
      <c r="H41" s="151">
        <f t="shared" si="74"/>
        <v>664.44357753615327</v>
      </c>
      <c r="I41" s="151">
        <f t="shared" si="74"/>
        <v>614.03196216799347</v>
      </c>
      <c r="J41" s="151">
        <f t="shared" si="74"/>
        <v>573.26627644617986</v>
      </c>
      <c r="K41" s="151">
        <f t="shared" si="74"/>
        <v>701.75081390627815</v>
      </c>
      <c r="L41" s="151">
        <f t="shared" si="74"/>
        <v>701.75081390627815</v>
      </c>
      <c r="M41" s="151">
        <f t="shared" si="74"/>
        <v>611.20232178933918</v>
      </c>
      <c r="N41" s="151">
        <f t="shared" si="74"/>
        <v>631.57573251565043</v>
      </c>
      <c r="O41" s="151">
        <f t="shared" si="74"/>
        <v>528.19953734881153</v>
      </c>
      <c r="P41" s="151">
        <f t="shared" si="74"/>
        <v>502.85224764579897</v>
      </c>
      <c r="Q41" s="168">
        <f>SUM(E41:P41)</f>
        <v>7525.7115510691028</v>
      </c>
      <c r="R41" s="160">
        <f t="shared" si="70"/>
        <v>0</v>
      </c>
      <c r="S41" s="161">
        <v>0.30677498701425099</v>
      </c>
      <c r="T41" s="253">
        <f t="shared" si="16"/>
        <v>3848.3800839569462</v>
      </c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</row>
    <row r="42" spans="1:31" s="116" customFormat="1" ht="24" customHeight="1">
      <c r="A42" s="133"/>
      <c r="B42" s="134" t="s">
        <v>25</v>
      </c>
      <c r="C42" s="144">
        <v>1.74090864431487</v>
      </c>
      <c r="D42" s="150">
        <v>14901.413744320518</v>
      </c>
      <c r="E42" s="151">
        <f>E37/$C$42</f>
        <v>843.84669166723847</v>
      </c>
      <c r="F42" s="151">
        <f t="shared" ref="F42:P42" si="75">F37/$C$42</f>
        <v>807.72762234941888</v>
      </c>
      <c r="G42" s="151">
        <f t="shared" si="75"/>
        <v>780.32430809599259</v>
      </c>
      <c r="H42" s="151">
        <f t="shared" si="75"/>
        <v>809.28236600326045</v>
      </c>
      <c r="I42" s="151">
        <f t="shared" si="75"/>
        <v>747.88530934798052</v>
      </c>
      <c r="J42" s="151">
        <f t="shared" si="75"/>
        <v>698.22924787171189</v>
      </c>
      <c r="K42" s="151">
        <f t="shared" si="75"/>
        <v>854.72606782626349</v>
      </c>
      <c r="L42" s="151">
        <f t="shared" si="75"/>
        <v>1495.770618695961</v>
      </c>
      <c r="M42" s="151">
        <f t="shared" si="75"/>
        <v>1302.7679582190628</v>
      </c>
      <c r="N42" s="151">
        <f t="shared" si="75"/>
        <v>1346.1935568263652</v>
      </c>
      <c r="O42" s="151">
        <f t="shared" si="75"/>
        <v>1125.8488527819063</v>
      </c>
      <c r="P42" s="151">
        <f t="shared" si="75"/>
        <v>1104.1188210978555</v>
      </c>
      <c r="Q42" s="168">
        <f>SUM(E42:P42)</f>
        <v>11916.721420783018</v>
      </c>
      <c r="R42" s="160">
        <f t="shared" si="70"/>
        <v>2984.6923235374998</v>
      </c>
      <c r="S42" s="161">
        <v>1.24681277903983</v>
      </c>
      <c r="T42" s="253">
        <f t="shared" si="16"/>
        <v>4687.2955453356026</v>
      </c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</row>
    <row r="43" spans="1:31" s="116" customFormat="1" ht="24" customHeight="1">
      <c r="A43" s="129">
        <v>9</v>
      </c>
      <c r="B43" s="139" t="s">
        <v>39</v>
      </c>
      <c r="C43" s="147" t="s">
        <v>40</v>
      </c>
      <c r="D43" s="152">
        <v>0.89894283451053847</v>
      </c>
      <c r="E43" s="152">
        <v>0.89894283451053847</v>
      </c>
      <c r="F43" s="152">
        <v>0.89894283451053847</v>
      </c>
      <c r="G43" s="152">
        <v>0.89894283451053847</v>
      </c>
      <c r="H43" s="152">
        <v>0.89894283451053847</v>
      </c>
      <c r="I43" s="152">
        <v>0.89894283451053847</v>
      </c>
      <c r="J43" s="152">
        <v>0.89894283451053847</v>
      </c>
      <c r="K43" s="152">
        <v>0.89894283451053847</v>
      </c>
      <c r="L43" s="152">
        <v>0.89894283451053847</v>
      </c>
      <c r="M43" s="152">
        <v>0.89894283451053847</v>
      </c>
      <c r="N43" s="152">
        <v>0.89894283451053847</v>
      </c>
      <c r="O43" s="152">
        <v>0.89894283451053847</v>
      </c>
      <c r="P43" s="152">
        <v>0.89894283451053847</v>
      </c>
      <c r="Q43" s="152">
        <v>0.89894283451053902</v>
      </c>
      <c r="R43" s="160">
        <f t="shared" si="70"/>
        <v>0</v>
      </c>
      <c r="S43" s="169"/>
      <c r="T43" s="254">
        <v>0.89894283451053902</v>
      </c>
    </row>
    <row r="44" spans="1:31" s="116" customFormat="1" ht="24" customHeight="1">
      <c r="A44" s="133"/>
      <c r="B44" s="134" t="s">
        <v>22</v>
      </c>
      <c r="C44" s="135"/>
      <c r="D44" s="153">
        <v>0.89864650000000001</v>
      </c>
      <c r="E44" s="153">
        <v>0.89864650000000001</v>
      </c>
      <c r="F44" s="153">
        <v>0.89864650000000001</v>
      </c>
      <c r="G44" s="153">
        <v>0.89864650000000001</v>
      </c>
      <c r="H44" s="153">
        <v>0.89864650000000001</v>
      </c>
      <c r="I44" s="153">
        <v>0.89864650000000001</v>
      </c>
      <c r="J44" s="153">
        <v>0.89864650000000001</v>
      </c>
      <c r="K44" s="153">
        <v>0.89864650000000001</v>
      </c>
      <c r="L44" s="153">
        <v>0.89864650000000001</v>
      </c>
      <c r="M44" s="153">
        <v>0.89864650000000001</v>
      </c>
      <c r="N44" s="153">
        <v>0.89864650000000001</v>
      </c>
      <c r="O44" s="153">
        <v>0.89864650000000001</v>
      </c>
      <c r="P44" s="153">
        <v>0.89864650000000001</v>
      </c>
      <c r="Q44" s="153">
        <v>0.89864650000000001</v>
      </c>
      <c r="R44" s="160">
        <f t="shared" si="70"/>
        <v>0</v>
      </c>
      <c r="S44" s="169"/>
      <c r="T44" s="255">
        <v>0.89864650000000001</v>
      </c>
    </row>
    <row r="45" spans="1:31" s="116" customFormat="1" ht="24" customHeight="1">
      <c r="A45" s="133"/>
      <c r="B45" s="134" t="s">
        <v>23</v>
      </c>
      <c r="C45" s="135"/>
      <c r="D45" s="153">
        <v>0.90081880000000003</v>
      </c>
      <c r="E45" s="153">
        <v>0.90081880000000003</v>
      </c>
      <c r="F45" s="153">
        <v>0.90081880000000003</v>
      </c>
      <c r="G45" s="153">
        <v>0.90081880000000003</v>
      </c>
      <c r="H45" s="153">
        <v>0.90081880000000003</v>
      </c>
      <c r="I45" s="153">
        <v>0.90081880000000003</v>
      </c>
      <c r="J45" s="153">
        <v>0.90081880000000003</v>
      </c>
      <c r="K45" s="153">
        <v>0.90081880000000003</v>
      </c>
      <c r="L45" s="153">
        <v>0.90081880000000003</v>
      </c>
      <c r="M45" s="153">
        <v>0.90081880000000003</v>
      </c>
      <c r="N45" s="153">
        <v>0.90081880000000003</v>
      </c>
      <c r="O45" s="153">
        <v>0.90081880000000003</v>
      </c>
      <c r="P45" s="153">
        <v>0.90081880000000003</v>
      </c>
      <c r="Q45" s="153">
        <v>0.90081880000000003</v>
      </c>
      <c r="R45" s="160">
        <f t="shared" si="70"/>
        <v>0</v>
      </c>
      <c r="S45" s="169"/>
      <c r="T45" s="255">
        <v>0.90081880000000003</v>
      </c>
    </row>
    <row r="46" spans="1:31" s="116" customFormat="1" ht="24" customHeight="1">
      <c r="A46" s="133"/>
      <c r="B46" s="134" t="s">
        <v>24</v>
      </c>
      <c r="C46" s="135"/>
      <c r="D46" s="153">
        <v>0.89603049999999995</v>
      </c>
      <c r="E46" s="153">
        <v>0.89603049999999995</v>
      </c>
      <c r="F46" s="153">
        <v>0.89603049999999995</v>
      </c>
      <c r="G46" s="153">
        <v>0.89603049999999995</v>
      </c>
      <c r="H46" s="153">
        <v>0.89603049999999995</v>
      </c>
      <c r="I46" s="153">
        <v>0.89603049999999995</v>
      </c>
      <c r="J46" s="153">
        <v>0.89603049999999995</v>
      </c>
      <c r="K46" s="153">
        <v>0.89603049999999995</v>
      </c>
      <c r="L46" s="153">
        <v>0.89603049999999995</v>
      </c>
      <c r="M46" s="153">
        <v>0.89603049999999995</v>
      </c>
      <c r="N46" s="153">
        <v>0.89603049999999995</v>
      </c>
      <c r="O46" s="153">
        <v>0.89603049999999995</v>
      </c>
      <c r="P46" s="153">
        <v>0.89603049999999995</v>
      </c>
      <c r="Q46" s="153">
        <v>0.89603049999999995</v>
      </c>
      <c r="R46" s="160">
        <f t="shared" si="70"/>
        <v>0</v>
      </c>
      <c r="S46" s="169"/>
      <c r="T46" s="255">
        <v>0.89603049999999995</v>
      </c>
    </row>
    <row r="47" spans="1:31" s="116" customFormat="1" ht="24" customHeight="1">
      <c r="A47" s="133"/>
      <c r="B47" s="134" t="s">
        <v>25</v>
      </c>
      <c r="C47" s="135"/>
      <c r="D47" s="153">
        <v>0.8975841</v>
      </c>
      <c r="E47" s="153">
        <v>0.8975841</v>
      </c>
      <c r="F47" s="153">
        <v>0.8975841</v>
      </c>
      <c r="G47" s="153">
        <v>0.8975841</v>
      </c>
      <c r="H47" s="153">
        <v>0.8975841</v>
      </c>
      <c r="I47" s="153">
        <v>0.8975841</v>
      </c>
      <c r="J47" s="153">
        <v>0.8975841</v>
      </c>
      <c r="K47" s="153">
        <v>0.8975841</v>
      </c>
      <c r="L47" s="153">
        <v>0.8975841</v>
      </c>
      <c r="M47" s="153">
        <v>0.8975841</v>
      </c>
      <c r="N47" s="153">
        <v>0.8975841</v>
      </c>
      <c r="O47" s="153">
        <v>0.8975841</v>
      </c>
      <c r="P47" s="153">
        <v>0.8975841</v>
      </c>
      <c r="Q47" s="153">
        <v>0.8975841</v>
      </c>
      <c r="R47" s="160">
        <f t="shared" si="70"/>
        <v>0</v>
      </c>
      <c r="S47" s="169"/>
      <c r="T47" s="255">
        <v>0.8975841</v>
      </c>
    </row>
    <row r="48" spans="1:31" s="116" customFormat="1" ht="24" customHeight="1">
      <c r="A48" s="129">
        <v>10</v>
      </c>
      <c r="B48" s="139" t="s">
        <v>41</v>
      </c>
      <c r="C48" s="154" t="s">
        <v>40</v>
      </c>
      <c r="D48" s="154">
        <v>0.81859350945852183</v>
      </c>
      <c r="E48" s="154">
        <v>0.81859350945852183</v>
      </c>
      <c r="F48" s="154">
        <v>0.81859350945852183</v>
      </c>
      <c r="G48" s="154">
        <v>0.81859350945852183</v>
      </c>
      <c r="H48" s="154">
        <v>0.81859350945852183</v>
      </c>
      <c r="I48" s="154">
        <v>0.81859350945852183</v>
      </c>
      <c r="J48" s="154">
        <v>0.81859350945852183</v>
      </c>
      <c r="K48" s="154">
        <v>0.81859350945852183</v>
      </c>
      <c r="L48" s="154">
        <v>0.81859350945852183</v>
      </c>
      <c r="M48" s="154">
        <v>0.81859350945852183</v>
      </c>
      <c r="N48" s="154">
        <v>0.81859350945852183</v>
      </c>
      <c r="O48" s="154">
        <v>0.81859350945852183</v>
      </c>
      <c r="P48" s="154">
        <v>0.81859350945852183</v>
      </c>
      <c r="Q48" s="154">
        <v>0.81859350945852183</v>
      </c>
      <c r="R48" s="160">
        <f t="shared" si="70"/>
        <v>0</v>
      </c>
      <c r="S48" s="161"/>
      <c r="T48" s="256">
        <v>0.81859350945852205</v>
      </c>
    </row>
    <row r="49" spans="1:34" s="116" customFormat="1" ht="24" customHeight="1">
      <c r="A49" s="133"/>
      <c r="B49" s="155" t="s">
        <v>22</v>
      </c>
      <c r="C49" s="135"/>
      <c r="D49" s="156">
        <v>0.84684178940361499</v>
      </c>
      <c r="E49" s="156">
        <v>0.84684178940361499</v>
      </c>
      <c r="F49" s="156">
        <v>0.84684178940361499</v>
      </c>
      <c r="G49" s="156">
        <v>0.84684178940361499</v>
      </c>
      <c r="H49" s="156">
        <v>0.84684178940361499</v>
      </c>
      <c r="I49" s="156">
        <v>0.84684178940361499</v>
      </c>
      <c r="J49" s="156">
        <v>0.84684178940361499</v>
      </c>
      <c r="K49" s="156">
        <v>0.84684178940361499</v>
      </c>
      <c r="L49" s="156">
        <v>0.84684178940361499</v>
      </c>
      <c r="M49" s="156">
        <v>0.84684178940361499</v>
      </c>
      <c r="N49" s="156">
        <v>0.84684178940361499</v>
      </c>
      <c r="O49" s="156">
        <v>0.84684178940361499</v>
      </c>
      <c r="P49" s="156">
        <v>0.84684178940361499</v>
      </c>
      <c r="Q49" s="156">
        <v>0.84684178940361499</v>
      </c>
      <c r="R49" s="160">
        <f t="shared" si="70"/>
        <v>0</v>
      </c>
      <c r="S49" s="161"/>
      <c r="T49" s="257">
        <v>0.84684178940361499</v>
      </c>
    </row>
    <row r="50" spans="1:34" s="116" customFormat="1" ht="24" customHeight="1">
      <c r="A50" s="133"/>
      <c r="B50" s="155" t="s">
        <v>23</v>
      </c>
      <c r="C50" s="135"/>
      <c r="D50" s="156">
        <v>0.78147885390388805</v>
      </c>
      <c r="E50" s="156">
        <v>0.78147885390388805</v>
      </c>
      <c r="F50" s="156">
        <v>0.78147885390388805</v>
      </c>
      <c r="G50" s="156">
        <v>0.78147885390388805</v>
      </c>
      <c r="H50" s="156">
        <v>0.78147885390388805</v>
      </c>
      <c r="I50" s="156">
        <v>0.78147885390388805</v>
      </c>
      <c r="J50" s="156">
        <v>0.78147885390388805</v>
      </c>
      <c r="K50" s="156">
        <v>0.78147885390388805</v>
      </c>
      <c r="L50" s="156">
        <v>0.78147885390388805</v>
      </c>
      <c r="M50" s="156">
        <v>0.78147885390388805</v>
      </c>
      <c r="N50" s="156">
        <v>0.78147885390388805</v>
      </c>
      <c r="O50" s="156">
        <v>0.78147885390388805</v>
      </c>
      <c r="P50" s="156">
        <v>0.78147885390388805</v>
      </c>
      <c r="Q50" s="156">
        <v>0.78147885390388805</v>
      </c>
      <c r="R50" s="160">
        <f t="shared" si="70"/>
        <v>0</v>
      </c>
      <c r="S50" s="161"/>
      <c r="T50" s="257">
        <v>0.78147885390388805</v>
      </c>
    </row>
    <row r="51" spans="1:34" s="116" customFormat="1" ht="24" customHeight="1">
      <c r="A51" s="133"/>
      <c r="B51" s="155" t="s">
        <v>24</v>
      </c>
      <c r="C51" s="135"/>
      <c r="D51" s="156">
        <v>0.72676349070388502</v>
      </c>
      <c r="E51" s="156">
        <v>0.72676349070388502</v>
      </c>
      <c r="F51" s="156">
        <v>0.72676349070388502</v>
      </c>
      <c r="G51" s="156">
        <v>0.72676349070388502</v>
      </c>
      <c r="H51" s="156">
        <v>0.72676349070388502</v>
      </c>
      <c r="I51" s="156">
        <v>0.72676349070388502</v>
      </c>
      <c r="J51" s="156">
        <v>0.72676349070388502</v>
      </c>
      <c r="K51" s="156">
        <v>0.72676349070388502</v>
      </c>
      <c r="L51" s="156">
        <v>0.72676349070388502</v>
      </c>
      <c r="M51" s="156">
        <v>0.72676349070388502</v>
      </c>
      <c r="N51" s="156">
        <v>0.72676349070388502</v>
      </c>
      <c r="O51" s="156">
        <v>0.72676349070388502</v>
      </c>
      <c r="P51" s="156">
        <v>0.72676349070388502</v>
      </c>
      <c r="Q51" s="156">
        <v>0.72676349070388502</v>
      </c>
      <c r="R51" s="160">
        <f t="shared" si="70"/>
        <v>0</v>
      </c>
      <c r="S51" s="161"/>
      <c r="T51" s="257">
        <v>0.72676349070388502</v>
      </c>
    </row>
    <row r="52" spans="1:34" s="116" customFormat="1" ht="24" customHeight="1">
      <c r="A52" s="133"/>
      <c r="B52" s="155" t="s">
        <v>25</v>
      </c>
      <c r="C52" s="135"/>
      <c r="D52" s="156">
        <v>0.87034193975199492</v>
      </c>
      <c r="E52" s="156">
        <v>0.87034193975199492</v>
      </c>
      <c r="F52" s="156">
        <v>0.87034193975199492</v>
      </c>
      <c r="G52" s="156">
        <v>0.87034193975199492</v>
      </c>
      <c r="H52" s="156">
        <v>0.87034193975199492</v>
      </c>
      <c r="I52" s="156">
        <v>0.87034193975199492</v>
      </c>
      <c r="J52" s="156">
        <v>0.87034193975199492</v>
      </c>
      <c r="K52" s="156">
        <v>0.87034193975199492</v>
      </c>
      <c r="L52" s="156">
        <v>0.87034193975199492</v>
      </c>
      <c r="M52" s="156">
        <v>0.87034193975199492</v>
      </c>
      <c r="N52" s="156">
        <v>0.87034193975199492</v>
      </c>
      <c r="O52" s="156">
        <v>0.87034193975199492</v>
      </c>
      <c r="P52" s="156">
        <v>0.87034193975199492</v>
      </c>
      <c r="Q52" s="156">
        <v>0.87034193975199492</v>
      </c>
      <c r="R52" s="160">
        <f t="shared" si="70"/>
        <v>0</v>
      </c>
      <c r="S52" s="161"/>
      <c r="T52" s="257">
        <v>0.87034193975199492</v>
      </c>
    </row>
    <row r="53" spans="1:34" s="116" customFormat="1" ht="24" customHeight="1">
      <c r="A53" s="129">
        <v>11</v>
      </c>
      <c r="B53" s="139" t="s">
        <v>42</v>
      </c>
      <c r="C53" s="147" t="s">
        <v>43</v>
      </c>
      <c r="D53" s="138">
        <f>D33/D210</f>
        <v>11.148979253112035</v>
      </c>
      <c r="E53" s="138">
        <f>E33/E210</f>
        <v>11.61443548387096</v>
      </c>
      <c r="F53" s="138">
        <f t="shared" ref="F53" si="76">F33/F210</f>
        <v>12.264839901477822</v>
      </c>
      <c r="G53" s="138">
        <f t="shared" ref="G53:O53" si="77">G33/G210</f>
        <v>11.420130568356369</v>
      </c>
      <c r="H53" s="138">
        <f t="shared" si="77"/>
        <v>11.604393762183236</v>
      </c>
      <c r="I53" s="138">
        <f t="shared" si="77"/>
        <v>10.576881520464648</v>
      </c>
      <c r="J53" s="138">
        <f t="shared" si="77"/>
        <v>10.476648831908832</v>
      </c>
      <c r="K53" s="138">
        <f t="shared" si="77"/>
        <v>11.995999007444169</v>
      </c>
      <c r="L53" s="138">
        <f t="shared" si="77"/>
        <v>12.094115347018574</v>
      </c>
      <c r="M53" s="138">
        <f t="shared" si="77"/>
        <v>10.887619047619047</v>
      </c>
      <c r="N53" s="138">
        <f t="shared" si="77"/>
        <v>10.87921146953405</v>
      </c>
      <c r="O53" s="138">
        <f t="shared" si="77"/>
        <v>10.648148148148149</v>
      </c>
      <c r="P53" s="138">
        <f>P33/P210</f>
        <v>9.7548297491039353</v>
      </c>
      <c r="Q53" s="138">
        <f>Q33/Q210</f>
        <v>11.139564990394154</v>
      </c>
      <c r="R53" s="160">
        <f t="shared" si="70"/>
        <v>9.4142627178808169E-3</v>
      </c>
      <c r="S53" s="247"/>
      <c r="T53" s="258">
        <f>T33/T210</f>
        <v>11.304192620821167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</row>
    <row r="54" spans="1:34" s="116" customFormat="1" ht="24" customHeight="1">
      <c r="A54" s="133"/>
      <c r="B54" s="134" t="s">
        <v>22</v>
      </c>
      <c r="C54" s="135"/>
      <c r="D54" s="157">
        <v>11.25</v>
      </c>
      <c r="E54" s="149">
        <v>11.536838709677401</v>
      </c>
      <c r="F54" s="149">
        <v>12.3123793103448</v>
      </c>
      <c r="G54" s="149">
        <v>11.5750322580645</v>
      </c>
      <c r="H54" s="149">
        <v>11.56</v>
      </c>
      <c r="I54" s="149">
        <v>10.600967741935484</v>
      </c>
      <c r="J54" s="149">
        <v>10.582266666666666</v>
      </c>
      <c r="K54" s="149">
        <v>11.994774193548388</v>
      </c>
      <c r="L54" s="149">
        <v>12.135032258064518</v>
      </c>
      <c r="M54" s="149">
        <v>10.922666666666666</v>
      </c>
      <c r="N54" s="149">
        <v>10.909677419354839</v>
      </c>
      <c r="O54" s="149">
        <v>11.153833333333333</v>
      </c>
      <c r="P54" s="149">
        <v>10.106854838709699</v>
      </c>
      <c r="Q54" s="138">
        <f>Q34/Q211</f>
        <v>11.245929594167599</v>
      </c>
      <c r="R54" s="160">
        <f>D54-Q54</f>
        <v>4.0704058324010362E-3</v>
      </c>
      <c r="S54" s="247"/>
      <c r="T54" s="258">
        <f>T34/T211</f>
        <v>11.3153467450497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</row>
    <row r="55" spans="1:34" s="116" customFormat="1" ht="24" customHeight="1">
      <c r="A55" s="133"/>
      <c r="B55" s="134" t="s">
        <v>23</v>
      </c>
      <c r="C55" s="135"/>
      <c r="D55" s="157">
        <v>11.25</v>
      </c>
      <c r="E55" s="149">
        <v>11.53683284457478</v>
      </c>
      <c r="F55" s="149">
        <v>12.312382445141067</v>
      </c>
      <c r="G55" s="149">
        <v>11.575043988269794</v>
      </c>
      <c r="H55" s="149">
        <v>11.559999999999999</v>
      </c>
      <c r="I55" s="149">
        <v>10.600942928039704</v>
      </c>
      <c r="J55" s="149">
        <v>10.582256410256409</v>
      </c>
      <c r="K55" s="149">
        <v>11.994789081885855</v>
      </c>
      <c r="L55" s="149">
        <v>12.135037220843673</v>
      </c>
      <c r="M55" s="149">
        <v>10.922666666666666</v>
      </c>
      <c r="N55" s="149">
        <v>10.909677419354839</v>
      </c>
      <c r="O55" s="149">
        <v>11.153857142857142</v>
      </c>
      <c r="P55" s="149">
        <v>10.149262672811023</v>
      </c>
      <c r="Q55" s="138">
        <f>Q35/Q212</f>
        <v>11.253486580774409</v>
      </c>
      <c r="R55" s="160">
        <f t="shared" si="70"/>
        <v>-3.4865807744086652E-3</v>
      </c>
      <c r="S55" s="247"/>
      <c r="T55" s="258">
        <f>T35/T212</f>
        <v>11.353979097825251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</row>
    <row r="56" spans="1:34" s="116" customFormat="1" ht="24" customHeight="1">
      <c r="A56" s="133"/>
      <c r="B56" s="134" t="s">
        <v>24</v>
      </c>
      <c r="C56" s="135"/>
      <c r="D56" s="157">
        <v>10.9</v>
      </c>
      <c r="E56" s="149">
        <v>11.847204301075269</v>
      </c>
      <c r="F56" s="149">
        <v>12.122183908045978</v>
      </c>
      <c r="G56" s="149">
        <v>10.955376344086021</v>
      </c>
      <c r="H56" s="149">
        <v>11.740777777777778</v>
      </c>
      <c r="I56" s="149">
        <v>10.5</v>
      </c>
      <c r="J56" s="149">
        <v>10.129666666666667</v>
      </c>
      <c r="K56" s="149">
        <v>12</v>
      </c>
      <c r="L56" s="149">
        <v>12</v>
      </c>
      <c r="M56" s="149">
        <v>10.8</v>
      </c>
      <c r="N56" s="149">
        <v>10.8</v>
      </c>
      <c r="O56" s="149">
        <v>9.3333333333333339</v>
      </c>
      <c r="P56" s="149">
        <v>8.598817204301076</v>
      </c>
      <c r="Q56" s="138">
        <f>Q36/Q213</f>
        <v>10.9</v>
      </c>
      <c r="R56" s="160">
        <f t="shared" si="70"/>
        <v>0</v>
      </c>
      <c r="S56" s="247"/>
      <c r="T56" s="258">
        <f>T36/T213</f>
        <v>11.208992673992675</v>
      </c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</row>
    <row r="57" spans="1:34" s="116" customFormat="1" ht="24" customHeight="1">
      <c r="A57" s="133"/>
      <c r="B57" s="134" t="s">
        <v>25</v>
      </c>
      <c r="C57" s="135"/>
      <c r="D57" s="157">
        <v>10.9</v>
      </c>
      <c r="E57" s="149">
        <v>11.847258064516131</v>
      </c>
      <c r="F57" s="149">
        <v>12.122241379310346</v>
      </c>
      <c r="G57" s="149">
        <v>10.955430107526881</v>
      </c>
      <c r="H57" s="149">
        <v>11.740722222222221</v>
      </c>
      <c r="I57" s="149">
        <v>10.5</v>
      </c>
      <c r="J57" s="149">
        <v>10.12961111111111</v>
      </c>
      <c r="K57" s="149">
        <v>12</v>
      </c>
      <c r="L57" s="149">
        <v>12</v>
      </c>
      <c r="M57" s="149">
        <v>10.8</v>
      </c>
      <c r="N57" s="149">
        <v>10.8</v>
      </c>
      <c r="O57" s="149">
        <v>9.3333333333333339</v>
      </c>
      <c r="P57" s="149">
        <v>8.8579262672811065</v>
      </c>
      <c r="Q57" s="138">
        <f>Q37/Q214</f>
        <v>10.788311665799965</v>
      </c>
      <c r="R57" s="160">
        <f t="shared" si="70"/>
        <v>0.11168833420003565</v>
      </c>
      <c r="S57" s="247"/>
      <c r="T57" s="258">
        <f>T37/T214</f>
        <v>11.20900183150183</v>
      </c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</row>
    <row r="58" spans="1:34" s="116" customFormat="1" ht="24" customHeight="1">
      <c r="A58" s="129">
        <v>12</v>
      </c>
      <c r="B58" s="139" t="s">
        <v>44</v>
      </c>
      <c r="C58" s="158" t="s">
        <v>45</v>
      </c>
      <c r="D58" s="138">
        <f>D118/D33</f>
        <v>3.8474148513593378</v>
      </c>
      <c r="E58" s="138">
        <f>E118/E33</f>
        <v>3.2243186734522258</v>
      </c>
      <c r="F58" s="138">
        <f>F118/F33</f>
        <v>4.4094929301355705</v>
      </c>
      <c r="G58" s="138">
        <f t="shared" ref="G58" si="78">G118/G33</f>
        <v>3.4382246685274285</v>
      </c>
      <c r="H58" s="138">
        <f t="shared" ref="H58:P58" si="79">H118/H33</f>
        <v>3.756370112379297</v>
      </c>
      <c r="I58" s="138">
        <f>I118/I33</f>
        <v>3.4077695423829448</v>
      </c>
      <c r="J58" s="138">
        <f t="shared" si="79"/>
        <v>3.7062368325256725</v>
      </c>
      <c r="K58" s="138">
        <f t="shared" si="79"/>
        <v>4.6335948086480201</v>
      </c>
      <c r="L58" s="138">
        <f t="shared" si="79"/>
        <v>4.9629474443948487</v>
      </c>
      <c r="M58" s="138">
        <f t="shared" si="79"/>
        <v>3.6054366570310794</v>
      </c>
      <c r="N58" s="138">
        <f t="shared" si="79"/>
        <v>3.9289299478093551</v>
      </c>
      <c r="O58" s="138">
        <f t="shared" si="79"/>
        <v>3.2836703239752483</v>
      </c>
      <c r="P58" s="138">
        <f t="shared" si="79"/>
        <v>3.4705128427553347</v>
      </c>
      <c r="Q58" s="138">
        <f>Q118/Q33</f>
        <v>3.8396561769241675</v>
      </c>
      <c r="R58" s="213">
        <f>D58-Q58</f>
        <v>7.7586744351703096E-3</v>
      </c>
      <c r="S58" s="247"/>
      <c r="T58" s="258">
        <f>T118/T33</f>
        <v>3.6572512989202424</v>
      </c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</row>
    <row r="59" spans="1:34" s="116" customFormat="1" ht="24" customHeight="1">
      <c r="A59" s="133"/>
      <c r="B59" s="134" t="s">
        <v>22</v>
      </c>
      <c r="C59" s="205"/>
      <c r="D59" s="239">
        <f>38956.119522112/10000</f>
        <v>3.8956119522111998</v>
      </c>
      <c r="E59" s="207">
        <f>E149+E179</f>
        <v>3.279599517140793</v>
      </c>
      <c r="F59" s="207">
        <f t="shared" ref="F59:P59" si="80">F149+F179</f>
        <v>4.4963315267347506</v>
      </c>
      <c r="G59" s="207">
        <f t="shared" si="80"/>
        <v>3.4974966427414618</v>
      </c>
      <c r="H59" s="207">
        <f t="shared" si="80"/>
        <v>3.8349484319006617</v>
      </c>
      <c r="I59" s="207">
        <f t="shared" si="80"/>
        <v>3.466482440066962</v>
      </c>
      <c r="J59" s="207">
        <f t="shared" si="80"/>
        <v>3.7681228049238782</v>
      </c>
      <c r="K59" s="207">
        <f t="shared" si="80"/>
        <v>4.707231502607188</v>
      </c>
      <c r="L59" s="207">
        <f t="shared" si="80"/>
        <v>5.0200021686282001</v>
      </c>
      <c r="M59" s="207">
        <f t="shared" si="80"/>
        <v>3.6514899148063007</v>
      </c>
      <c r="N59" s="207">
        <f t="shared" si="80"/>
        <v>3.9933237199488247</v>
      </c>
      <c r="O59" s="207">
        <f t="shared" si="80"/>
        <v>3.3260119254006728</v>
      </c>
      <c r="P59" s="207">
        <f t="shared" si="80"/>
        <v>3.6389287721121848</v>
      </c>
      <c r="Q59" s="138">
        <f>Q119/Q34</f>
        <v>3.9026556406395079</v>
      </c>
      <c r="R59" s="213">
        <f t="shared" si="70"/>
        <v>-7.0436884283080481E-3</v>
      </c>
      <c r="S59" s="247"/>
      <c r="T59" s="258">
        <f>T119/T34</f>
        <v>3.7224818219285307</v>
      </c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</row>
    <row r="60" spans="1:34" s="116" customFormat="1" ht="24" customHeight="1">
      <c r="A60" s="133"/>
      <c r="B60" s="134" t="s">
        <v>23</v>
      </c>
      <c r="C60" s="205"/>
      <c r="D60" s="239">
        <f>37046.950504397/10000</f>
        <v>3.7046950504397</v>
      </c>
      <c r="E60" s="207">
        <f t="shared" ref="E60:P62" si="81">E150+E180</f>
        <v>3.1189132703327762</v>
      </c>
      <c r="F60" s="207">
        <f t="shared" si="81"/>
        <v>4.282634680872131</v>
      </c>
      <c r="G60" s="207">
        <f t="shared" si="81"/>
        <v>3.3271955566453824</v>
      </c>
      <c r="H60" s="207">
        <f t="shared" si="81"/>
        <v>3.6438942702537669</v>
      </c>
      <c r="I60" s="207">
        <f t="shared" si="81"/>
        <v>3.2898764875800146</v>
      </c>
      <c r="J60" s="207">
        <f t="shared" si="81"/>
        <v>3.5780969398779523</v>
      </c>
      <c r="K60" s="207">
        <f t="shared" si="81"/>
        <v>4.4782459710416669</v>
      </c>
      <c r="L60" s="207">
        <f t="shared" si="81"/>
        <v>4.7773768696978509</v>
      </c>
      <c r="M60" s="207">
        <f t="shared" si="81"/>
        <v>3.4700202976790933</v>
      </c>
      <c r="N60" s="207">
        <f t="shared" si="81"/>
        <v>3.8008959509509759</v>
      </c>
      <c r="O60" s="207">
        <f t="shared" si="81"/>
        <v>3.1635181490713311</v>
      </c>
      <c r="P60" s="207">
        <f t="shared" si="81"/>
        <v>3.31069437590955</v>
      </c>
      <c r="Q60" s="138">
        <f t="shared" ref="Q60:Q62" si="82">Q120/Q35</f>
        <v>3.7011023721910141</v>
      </c>
      <c r="R60" s="213">
        <f t="shared" si="70"/>
        <v>3.592678248685921E-3</v>
      </c>
      <c r="S60" s="247"/>
      <c r="T60" s="258">
        <f>T120/T35</f>
        <v>3.5420003534996871</v>
      </c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</row>
    <row r="61" spans="1:34" s="116" customFormat="1" ht="24" customHeight="1">
      <c r="A61" s="133"/>
      <c r="B61" s="134" t="s">
        <v>24</v>
      </c>
      <c r="C61" s="205"/>
      <c r="D61" s="239">
        <f>36542.5171706031/10000</f>
        <v>3.6542517170603102</v>
      </c>
      <c r="E61" s="207">
        <f t="shared" si="81"/>
        <v>3.0695912165488304</v>
      </c>
      <c r="F61" s="207">
        <f t="shared" si="81"/>
        <v>4.2181292656680043</v>
      </c>
      <c r="G61" s="207">
        <f t="shared" si="81"/>
        <v>3.2776508594772684</v>
      </c>
      <c r="H61" s="207">
        <f t="shared" si="81"/>
        <v>3.5930574864159173</v>
      </c>
      <c r="I61" s="207">
        <f t="shared" si="81"/>
        <v>3.2452076297725014</v>
      </c>
      <c r="J61" s="207">
        <f t="shared" si="81"/>
        <v>3.5305600087125288</v>
      </c>
      <c r="K61" s="207">
        <f t="shared" si="81"/>
        <v>4.4158040054581988</v>
      </c>
      <c r="L61" s="207">
        <f t="shared" si="81"/>
        <v>4.7109712889775262</v>
      </c>
      <c r="M61" s="207">
        <f t="shared" si="81"/>
        <v>3.4250981345218046</v>
      </c>
      <c r="N61" s="207">
        <f t="shared" si="81"/>
        <v>3.7511679234404123</v>
      </c>
      <c r="O61" s="207">
        <f t="shared" si="81"/>
        <v>3.129277740596057</v>
      </c>
      <c r="P61" s="207">
        <f t="shared" si="81"/>
        <v>3.0880720285028027</v>
      </c>
      <c r="Q61" s="138">
        <f t="shared" si="82"/>
        <v>3.6542517170603106</v>
      </c>
      <c r="R61" s="213">
        <f t="shared" si="70"/>
        <v>0</v>
      </c>
      <c r="S61" s="247"/>
      <c r="T61" s="258">
        <f>T121/T36</f>
        <v>3.4892137722848284</v>
      </c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</row>
    <row r="62" spans="1:34" s="116" customFormat="1" ht="24" customHeight="1">
      <c r="A62" s="133"/>
      <c r="B62" s="134" t="s">
        <v>25</v>
      </c>
      <c r="C62" s="205"/>
      <c r="D62" s="239">
        <f>41463.2639072201/10000</f>
        <v>4.1463263907220096</v>
      </c>
      <c r="E62" s="207">
        <f t="shared" si="81"/>
        <v>3.4880525100232465</v>
      </c>
      <c r="F62" s="207">
        <f t="shared" si="81"/>
        <v>4.6868455020295761</v>
      </c>
      <c r="G62" s="207">
        <f t="shared" si="81"/>
        <v>3.7246927638717287</v>
      </c>
      <c r="H62" s="207">
        <f t="shared" si="81"/>
        <v>3.9803095602971084</v>
      </c>
      <c r="I62" s="207">
        <f t="shared" si="81"/>
        <v>3.6887421127386544</v>
      </c>
      <c r="J62" s="207">
        <f t="shared" si="81"/>
        <v>4.0121720188065444</v>
      </c>
      <c r="K62" s="207">
        <f t="shared" si="81"/>
        <v>5.0031478226331316</v>
      </c>
      <c r="L62" s="207">
        <f t="shared" si="81"/>
        <v>5.3370225421102653</v>
      </c>
      <c r="M62" s="207">
        <f t="shared" si="81"/>
        <v>3.8834420600944863</v>
      </c>
      <c r="N62" s="207">
        <f t="shared" si="81"/>
        <v>4.1522717556052262</v>
      </c>
      <c r="O62" s="207">
        <f t="shared" si="81"/>
        <v>3.5502720750493721</v>
      </c>
      <c r="P62" s="207">
        <f t="shared" si="81"/>
        <v>3.6664359352722133</v>
      </c>
      <c r="Q62" s="138">
        <f t="shared" si="82"/>
        <v>4.142954033914882</v>
      </c>
      <c r="R62" s="213">
        <f t="shared" si="70"/>
        <v>3.3723568071275523E-3</v>
      </c>
      <c r="S62" s="247"/>
      <c r="T62" s="258">
        <f>T122/T37</f>
        <v>3.9291123198492945</v>
      </c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</row>
    <row r="63" spans="1:34" s="116" customFormat="1" ht="24" customHeight="1">
      <c r="A63" s="129">
        <v>13</v>
      </c>
      <c r="B63" s="159" t="s">
        <v>46</v>
      </c>
      <c r="C63" s="147" t="s">
        <v>47</v>
      </c>
      <c r="D63" s="224">
        <f>'表2-财务收支表'!O13/D33</f>
        <v>3.6017442536363373</v>
      </c>
      <c r="E63" s="138">
        <f>'表2-财务收支表'!C13/E33</f>
        <v>3.6004804735807703</v>
      </c>
      <c r="F63" s="138">
        <f>'表2-财务收支表'!D13/F33</f>
        <v>3.9105770506419084</v>
      </c>
      <c r="G63" s="138">
        <f>'表2-财务收支表'!E13/G33</f>
        <v>3.7121597253749172</v>
      </c>
      <c r="H63" s="138">
        <f>'表2-财务收支表'!F13/H33</f>
        <v>3.7443815969571186</v>
      </c>
      <c r="I63" s="138">
        <f>'表2-财务收支表'!G13/I33</f>
        <v>3.7633047513921993</v>
      </c>
      <c r="J63" s="138">
        <f>'表2-财务收支表'!H13/J33</f>
        <v>3.8692437989341566</v>
      </c>
      <c r="K63" s="138">
        <f>'表2-财务收支表'!I13/K33</f>
        <v>3.7568495684607401</v>
      </c>
      <c r="L63" s="138">
        <f>'表2-财务收支表'!J13/L33</f>
        <v>3.9153106236068789</v>
      </c>
      <c r="M63" s="138">
        <f>'表2-财务收支表'!K13/M33</f>
        <v>3.739227417842705</v>
      </c>
      <c r="N63" s="138">
        <f>'表2-财务收支表'!L13/N33</f>
        <v>3.7553813564945213</v>
      </c>
      <c r="O63" s="138">
        <f>'表2-财务收支表'!M13/O33</f>
        <v>3.6701755051572209</v>
      </c>
      <c r="P63" s="138">
        <f>'表2-财务收支表'!N13/P33</f>
        <v>3.7733657069760613</v>
      </c>
      <c r="Q63" s="138">
        <f>'表2-财务收支表'!O13/Q33</f>
        <v>3.7680167678477745</v>
      </c>
      <c r="R63" s="160">
        <f t="shared" si="70"/>
        <v>-0.16627251421143718</v>
      </c>
      <c r="S63" s="161"/>
      <c r="T63" s="138">
        <f>'表2-财务收支表'!Q13/T33</f>
        <v>3.7655001078415098</v>
      </c>
    </row>
    <row r="64" spans="1:34" s="116" customFormat="1" ht="24" customHeight="1">
      <c r="A64" s="133"/>
      <c r="B64" s="134" t="s">
        <v>22</v>
      </c>
      <c r="C64" s="268">
        <v>0.29272132530166117</v>
      </c>
      <c r="D64" s="149">
        <f>34098.399534187/10000</f>
        <v>3.4098399534187003</v>
      </c>
      <c r="E64" s="225">
        <f>$C$64*'表2-财务收支表'!C13/E34</f>
        <v>2.9708733564660541</v>
      </c>
      <c r="F64" s="225">
        <f>$C$64*'表2-财务收支表'!D13/F34</f>
        <v>3.1928104665814856</v>
      </c>
      <c r="G64" s="225">
        <f>$C$64*'表2-财务收支表'!E13/G34</f>
        <v>3.0018425411807668</v>
      </c>
      <c r="H64" s="225">
        <f>$C$64*'表2-财务收支表'!F13/H34</f>
        <v>2.9864458780015224</v>
      </c>
      <c r="I64" s="225">
        <f>$C$64*'表2-财务收支表'!G13/I34</f>
        <v>2.8414145952777132</v>
      </c>
      <c r="J64" s="225">
        <f>$C$64*'表2-财务收支表'!H13/J34</f>
        <v>2.8032649849520173</v>
      </c>
      <c r="K64" s="225">
        <f>$C$64*'表2-财务收支表'!I13/K34</f>
        <v>2.749555696367159</v>
      </c>
      <c r="L64" s="225">
        <f>$C$64*'表2-财务收支表'!J13/L34</f>
        <v>3.7693606863005908</v>
      </c>
      <c r="M64" s="225">
        <f>$C$64*'表2-财务收支表'!K13/M34</f>
        <v>3.47148935558553</v>
      </c>
      <c r="N64" s="225">
        <f>$C$64*'表2-财务收支表'!L13/N34</f>
        <v>3.2886311988862635</v>
      </c>
      <c r="O64" s="225">
        <f>$C$64*'表2-财务收支表'!M13/O34</f>
        <v>3.076892930814052</v>
      </c>
      <c r="P64" s="225">
        <f>$C$64*'表2-财务收支表'!N13/P34</f>
        <v>3.1982188718194005</v>
      </c>
      <c r="Q64" s="225">
        <f>('表1-生产经营预算表'!Q99/'表1-生产经营预算表'!Q98-0.08)*'表2-财务收支表'!O13/Q34</f>
        <v>3.4652675257812406</v>
      </c>
      <c r="R64" s="160">
        <f>D64-Q64</f>
        <v>-5.5427572362540367E-2</v>
      </c>
      <c r="S64" s="248"/>
      <c r="T64" s="225">
        <f>('表1-生产经营预算表'!T99/'表1-生产经营预算表'!T98-0.08)*'表2-财务收支表'!Q13/T34</f>
        <v>3.4941746130625524</v>
      </c>
    </row>
    <row r="65" spans="1:31" s="116" customFormat="1" ht="24" customHeight="1">
      <c r="A65" s="133"/>
      <c r="B65" s="134" t="s">
        <v>23</v>
      </c>
      <c r="C65" s="268">
        <v>0.41905846117120193</v>
      </c>
      <c r="D65" s="149">
        <f>40253.2406984702/10000</f>
        <v>4.0253240698470201</v>
      </c>
      <c r="E65" s="225">
        <f>$C$65*'表2-财务收支表'!C13/E35</f>
        <v>3.8664457917771937</v>
      </c>
      <c r="F65" s="225">
        <f>$C$65*'表2-财务收支表'!D13/F35</f>
        <v>4.155282872177442</v>
      </c>
      <c r="G65" s="225">
        <f>$C$65*'表2-财务收支表'!E13/G35</f>
        <v>3.9067447197402454</v>
      </c>
      <c r="H65" s="225">
        <f>$C$65*'表2-财务收支表'!F13/H35</f>
        <v>4.0810462223522492</v>
      </c>
      <c r="I65" s="225">
        <f>$C$65*'表2-财务收支表'!G13/I35</f>
        <v>4.1989834133290689</v>
      </c>
      <c r="J65" s="225">
        <f>$C$65*'表2-财务收支表'!H13/J35</f>
        <v>4.3779760892751387</v>
      </c>
      <c r="K65" s="225">
        <f>$C$65*'表2-财务收支表'!I13/K35</f>
        <v>4.2940865566747544</v>
      </c>
      <c r="L65" s="225">
        <f>$C$65*'表2-财务收支表'!J13/L35</f>
        <v>4.1509205205851956</v>
      </c>
      <c r="M65" s="225">
        <f>$C$65*'表2-财务收支表'!K13/M35</f>
        <v>3.9048174778694946</v>
      </c>
      <c r="N65" s="225">
        <f>$C$65*'表2-财务收支表'!L13/N35</f>
        <v>4.0354189963869906</v>
      </c>
      <c r="O65" s="225">
        <f>$C$65*'表2-财务收支表'!M13/O35</f>
        <v>3.7755907935592155</v>
      </c>
      <c r="P65" s="225">
        <f>$C$65*'表2-财务收支表'!N13/P35</f>
        <v>3.9080775998136446</v>
      </c>
      <c r="Q65" s="225">
        <f>(Q100/Q98+0.08)*'表2-财务收支表'!O13/Q35</f>
        <v>4.0087807468342067</v>
      </c>
      <c r="R65" s="160">
        <f t="shared" si="70"/>
        <v>1.654332301281336E-2</v>
      </c>
      <c r="S65" s="248"/>
      <c r="T65" s="225">
        <f>(T100/T98+0.08)*'表2-财务收支表'!Q13/T35</f>
        <v>4.0095921626742701</v>
      </c>
    </row>
    <row r="66" spans="1:31" s="116" customFormat="1" ht="24" customHeight="1">
      <c r="A66" s="133"/>
      <c r="B66" s="134" t="s">
        <v>24</v>
      </c>
      <c r="C66" s="268">
        <v>8.6249375522977706E-2</v>
      </c>
      <c r="D66" s="149">
        <f>36586.3338041787/10000</f>
        <v>3.6586333804178701</v>
      </c>
      <c r="E66" s="225">
        <f>$C$66*'表2-财务收支表'!C13/E36</f>
        <v>2.8414199410145438</v>
      </c>
      <c r="F66" s="225">
        <f>$C$66*'表2-财务收支表'!D13/F36</f>
        <v>3.1850378538390749</v>
      </c>
      <c r="G66" s="225">
        <f>$C$66*'表2-财务收支表'!E13/G36</f>
        <v>3.1150366347831913</v>
      </c>
      <c r="H66" s="225">
        <f>$C$66*'表2-财务收支表'!F13/H36</f>
        <v>3.032391394783009</v>
      </c>
      <c r="I66" s="225">
        <f>$C$66*'表2-财务收支表'!G13/I36</f>
        <v>3.1992791252378447</v>
      </c>
      <c r="J66" s="225">
        <f>$C$66*'表2-财务收支表'!H13/J36</f>
        <v>3.4515112009266673</v>
      </c>
      <c r="K66" s="225">
        <f>$C$66*'表2-财务收支表'!I13/K36</f>
        <v>3.2391789376928384</v>
      </c>
      <c r="L66" s="225">
        <f>$C$66*'表2-财务收支表'!J13/L36</f>
        <v>3.7437576532726347</v>
      </c>
      <c r="M66" s="225">
        <f>$C$66*'表2-财务收支表'!K13/M36</f>
        <v>3.7930956088918033</v>
      </c>
      <c r="N66" s="225">
        <f>$C$66*'表2-财务收支表'!L13/N36</f>
        <v>3.915298828050978</v>
      </c>
      <c r="O66" s="225">
        <f>$C$66*'表2-财务收支表'!M13/O36</f>
        <v>4.333724966505601</v>
      </c>
      <c r="P66" s="225">
        <f>$C$66*'表2-财务收支表'!N13/P36</f>
        <v>4.4304422592442396</v>
      </c>
      <c r="Q66" s="149">
        <f>'表2-财务收支表'!O$13/Q$98*Q101/'表1-生产经营预算表'!Q36</f>
        <v>3.6357222605596058</v>
      </c>
      <c r="R66" s="160">
        <f t="shared" si="70"/>
        <v>2.2911119858264328E-2</v>
      </c>
      <c r="S66" s="248"/>
      <c r="T66" s="149">
        <f>'表2-财务收支表'!Q$13/T$98*T101/'表1-生产经营预算表'!T36</f>
        <v>3.626910902890879</v>
      </c>
    </row>
    <row r="67" spans="1:31" s="116" customFormat="1" ht="24" customHeight="1">
      <c r="A67" s="133"/>
      <c r="B67" s="134" t="s">
        <v>25</v>
      </c>
      <c r="C67" s="268">
        <v>0.20197083800415899</v>
      </c>
      <c r="D67" s="149">
        <f>39525.4646092255/10000</f>
        <v>3.9525464609225498</v>
      </c>
      <c r="E67" s="225">
        <f>$C$67*'表2-财务收支表'!C13/E37</f>
        <v>4.990308847005763</v>
      </c>
      <c r="F67" s="225">
        <f>$C$67*'表2-财务收支表'!D13/F37</f>
        <v>5.5937945409706176</v>
      </c>
      <c r="G67" s="225">
        <f>$C$67*'表2-财务收支表'!E13/G37</f>
        <v>5.470852410886911</v>
      </c>
      <c r="H67" s="225">
        <f>$C$67*'表2-财务收支表'!F13/H37</f>
        <v>5.3257562054982905</v>
      </c>
      <c r="I67" s="225">
        <f>$C$67*'表2-财务收支表'!G13/I37</f>
        <v>5.6188327337050374</v>
      </c>
      <c r="J67" s="225">
        <f>$C$67*'表2-财务收支表'!H13/J37</f>
        <v>6.0618563495802187</v>
      </c>
      <c r="K67" s="225">
        <f>$C$67*'表2-财务收支表'!I13/K37</f>
        <v>5.688908011139338</v>
      </c>
      <c r="L67" s="225">
        <f>$C$67*'表2-财务收支表'!J13/L37</f>
        <v>3.7571942617279777</v>
      </c>
      <c r="M67" s="225">
        <f>$C$67*'表2-财务收支表'!K13/M37</f>
        <v>3.806709294725823</v>
      </c>
      <c r="N67" s="225">
        <f>$C$67*'表2-财务收支表'!L13/N37</f>
        <v>3.9293511097984877</v>
      </c>
      <c r="O67" s="225">
        <f>$C$67*'表2-财务收支表'!M13/O37</f>
        <v>4.3492790089733804</v>
      </c>
      <c r="P67" s="225">
        <f>$C$67*'表2-财务收支表'!N13/P37</f>
        <v>4.3162804929022718</v>
      </c>
      <c r="Q67" s="149">
        <f>'表2-财务收支表'!O$13/Q$98*Q102/'表1-生产经营预算表'!Q37</f>
        <v>3.9277947964906232</v>
      </c>
      <c r="R67" s="160">
        <f>D67-Q67</f>
        <v>2.4751664431926557E-2</v>
      </c>
      <c r="S67" s="248"/>
      <c r="T67" s="149">
        <f>'表2-财务收支表'!Q$13/T$98*T102/'表1-生产经营预算表'!T37</f>
        <v>3.918275586187713</v>
      </c>
    </row>
    <row r="68" spans="1:31" s="116" customFormat="1" ht="24" hidden="1" customHeight="1">
      <c r="A68" s="129">
        <v>14</v>
      </c>
      <c r="B68" s="139" t="s">
        <v>48</v>
      </c>
      <c r="C68" s="147" t="s">
        <v>47</v>
      </c>
      <c r="D68" s="149">
        <f>'[2]3、生产经营预算表'!G302/10000</f>
        <v>0</v>
      </c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60">
        <f t="shared" ref="R68" si="83">D68-Q68</f>
        <v>0</v>
      </c>
      <c r="S68" s="161"/>
      <c r="T68" s="258">
        <f t="shared" ref="T68:T77" si="84">T128/T43</f>
        <v>0</v>
      </c>
    </row>
    <row r="69" spans="1:31" s="116" customFormat="1" ht="24" hidden="1" customHeight="1">
      <c r="A69" s="133"/>
      <c r="B69" s="134" t="s">
        <v>22</v>
      </c>
      <c r="C69" s="135"/>
      <c r="D69" s="149">
        <f>'[2]3、生产经营预算表'!G303/10000</f>
        <v>3.6585972664267952</v>
      </c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75"/>
      <c r="Q69" s="175"/>
      <c r="R69" s="160">
        <f t="shared" ref="R69:R100" si="85">D69-Q69</f>
        <v>3.6585972664267952</v>
      </c>
      <c r="S69" s="161"/>
      <c r="T69" s="258">
        <f t="shared" si="84"/>
        <v>0</v>
      </c>
    </row>
    <row r="70" spans="1:31" s="116" customFormat="1" ht="24" hidden="1" customHeight="1">
      <c r="A70" s="133"/>
      <c r="B70" s="134" t="s">
        <v>23</v>
      </c>
      <c r="C70" s="135"/>
      <c r="D70" s="149">
        <f>'[2]3、生产经营预算表'!G304/10000</f>
        <v>3.9525074457459071</v>
      </c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75"/>
      <c r="Q70" s="175"/>
      <c r="R70" s="160">
        <f t="shared" si="85"/>
        <v>3.9525074457459071</v>
      </c>
      <c r="S70" s="161"/>
      <c r="T70" s="258">
        <f t="shared" si="84"/>
        <v>0</v>
      </c>
    </row>
    <row r="71" spans="1:31" s="116" customFormat="1" ht="24" hidden="1" customHeight="1">
      <c r="A71" s="133"/>
      <c r="B71" s="134" t="s">
        <v>24</v>
      </c>
      <c r="C71" s="135"/>
      <c r="D71" s="149">
        <f>'[2]3、生产经营预算表'!G305/10000</f>
        <v>0</v>
      </c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75"/>
      <c r="Q71" s="175"/>
      <c r="R71" s="160">
        <f t="shared" si="85"/>
        <v>0</v>
      </c>
      <c r="S71" s="161"/>
      <c r="T71" s="258">
        <f t="shared" si="84"/>
        <v>0</v>
      </c>
    </row>
    <row r="72" spans="1:31" s="116" customFormat="1" ht="24" hidden="1" customHeight="1">
      <c r="A72" s="133"/>
      <c r="B72" s="134" t="s">
        <v>25</v>
      </c>
      <c r="C72" s="135"/>
      <c r="D72" s="149">
        <f>'[2]3、生产经营预算表'!G306/10000</f>
        <v>0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75"/>
      <c r="Q72" s="175"/>
      <c r="R72" s="160">
        <f t="shared" si="85"/>
        <v>0</v>
      </c>
      <c r="S72" s="161"/>
      <c r="T72" s="258">
        <f t="shared" si="84"/>
        <v>0</v>
      </c>
    </row>
    <row r="73" spans="1:31" s="116" customFormat="1" ht="24" hidden="1" customHeight="1">
      <c r="A73" s="129">
        <v>15</v>
      </c>
      <c r="B73" s="139" t="s">
        <v>49</v>
      </c>
      <c r="C73" s="147" t="s">
        <v>47</v>
      </c>
      <c r="D73" s="149">
        <f>'[2]3、生产经营预算表'!G307/10000</f>
        <v>0</v>
      </c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60">
        <f t="shared" si="85"/>
        <v>0</v>
      </c>
      <c r="S73" s="161"/>
      <c r="T73" s="258">
        <f t="shared" si="84"/>
        <v>259977.37658119976</v>
      </c>
    </row>
    <row r="74" spans="1:31" s="116" customFormat="1" ht="24" hidden="1" customHeight="1">
      <c r="A74" s="133"/>
      <c r="B74" s="134" t="s">
        <v>22</v>
      </c>
      <c r="C74" s="135"/>
      <c r="D74" s="149">
        <f>'[2]3、生产经营预算表'!G308/10000</f>
        <v>0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75"/>
      <c r="Q74" s="175"/>
      <c r="R74" s="160">
        <f t="shared" si="85"/>
        <v>0</v>
      </c>
      <c r="S74" s="161"/>
      <c r="T74" s="258">
        <f t="shared" si="84"/>
        <v>94887.598902666548</v>
      </c>
    </row>
    <row r="75" spans="1:31" s="116" customFormat="1" ht="24" hidden="1" customHeight="1">
      <c r="A75" s="133"/>
      <c r="B75" s="134" t="s">
        <v>23</v>
      </c>
      <c r="C75" s="135"/>
      <c r="D75" s="149">
        <f>'[2]3、生产经营预算表'!G309/10000</f>
        <v>0</v>
      </c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75"/>
      <c r="Q75" s="175"/>
      <c r="R75" s="160">
        <f t="shared" si="85"/>
        <v>0</v>
      </c>
      <c r="S75" s="161"/>
      <c r="T75" s="258">
        <f t="shared" si="84"/>
        <v>102000.76802041638</v>
      </c>
    </row>
    <row r="76" spans="1:31" s="116" customFormat="1" ht="24" hidden="1" customHeight="1">
      <c r="A76" s="133"/>
      <c r="B76" s="134" t="s">
        <v>24</v>
      </c>
      <c r="C76" s="135"/>
      <c r="D76" s="149">
        <f>'[2]3、生产经营预算表'!G310/10000</f>
        <v>0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75"/>
      <c r="Q76" s="175"/>
      <c r="R76" s="160">
        <f t="shared" si="85"/>
        <v>0</v>
      </c>
      <c r="S76" s="161"/>
      <c r="T76" s="258">
        <f t="shared" si="84"/>
        <v>29092.287365728447</v>
      </c>
    </row>
    <row r="77" spans="1:31" s="116" customFormat="1" ht="24" hidden="1" customHeight="1">
      <c r="A77" s="133"/>
      <c r="B77" s="134" t="s">
        <v>25</v>
      </c>
      <c r="C77" s="135"/>
      <c r="D77" s="149">
        <f>'[2]3、生产经营预算表'!G311/10000</f>
        <v>0</v>
      </c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75"/>
      <c r="Q77" s="175"/>
      <c r="R77" s="160">
        <f t="shared" si="85"/>
        <v>0</v>
      </c>
      <c r="S77" s="161"/>
      <c r="T77" s="258">
        <f t="shared" si="84"/>
        <v>36314.868876817614</v>
      </c>
    </row>
    <row r="78" spans="1:31" s="117" customFormat="1" ht="24" customHeight="1">
      <c r="A78" s="129">
        <v>16</v>
      </c>
      <c r="B78" s="139" t="s">
        <v>50</v>
      </c>
      <c r="C78" s="158" t="s">
        <v>45</v>
      </c>
      <c r="D78" s="138">
        <f>D123/D33</f>
        <v>3.8474148513593378</v>
      </c>
      <c r="E78" s="138">
        <f>E123/E33</f>
        <v>3.2243186734522258</v>
      </c>
      <c r="F78" s="138">
        <f t="shared" ref="F78" si="86">F123/F33</f>
        <v>4.4094929301355705</v>
      </c>
      <c r="G78" s="138">
        <f t="shared" ref="G78:Q78" si="87">G123/G33</f>
        <v>3.4382246685274285</v>
      </c>
      <c r="H78" s="138">
        <f t="shared" si="87"/>
        <v>3.756370112379297</v>
      </c>
      <c r="I78" s="138">
        <f t="shared" si="87"/>
        <v>3.4077695423829448</v>
      </c>
      <c r="J78" s="138">
        <f t="shared" si="87"/>
        <v>3.7062368325256725</v>
      </c>
      <c r="K78" s="138">
        <f t="shared" si="87"/>
        <v>4.6335948086480201</v>
      </c>
      <c r="L78" s="138">
        <f t="shared" si="87"/>
        <v>4.9629474443948487</v>
      </c>
      <c r="M78" s="138">
        <f t="shared" si="87"/>
        <v>3.6054366570310794</v>
      </c>
      <c r="N78" s="138">
        <f t="shared" si="87"/>
        <v>3.9289299478093551</v>
      </c>
      <c r="O78" s="138">
        <f t="shared" si="87"/>
        <v>3.2836703239752483</v>
      </c>
      <c r="P78" s="138">
        <f t="shared" si="87"/>
        <v>3.4705127889807295</v>
      </c>
      <c r="Q78" s="138">
        <f t="shared" si="87"/>
        <v>3.8396561723654892</v>
      </c>
      <c r="R78" s="160">
        <f t="shared" si="85"/>
        <v>7.7586789938486334E-3</v>
      </c>
      <c r="S78" s="247"/>
      <c r="T78" s="138">
        <f>T123/T33</f>
        <v>3.6572512989202424</v>
      </c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</row>
    <row r="79" spans="1:31" s="116" customFormat="1" ht="24" customHeight="1">
      <c r="A79" s="133"/>
      <c r="B79" s="208" t="s">
        <v>22</v>
      </c>
      <c r="C79" s="205"/>
      <c r="D79" s="209">
        <v>3.8956119522111998</v>
      </c>
      <c r="E79" s="207">
        <f>E154+E179</f>
        <v>3.279599517140793</v>
      </c>
      <c r="F79" s="207">
        <f t="shared" ref="F79:P79" si="88">F154+F179</f>
        <v>4.4963315267347506</v>
      </c>
      <c r="G79" s="207">
        <f t="shared" si="88"/>
        <v>3.4974966427414618</v>
      </c>
      <c r="H79" s="207">
        <f t="shared" si="88"/>
        <v>3.8349484319006617</v>
      </c>
      <c r="I79" s="207">
        <f t="shared" si="88"/>
        <v>3.466482440066962</v>
      </c>
      <c r="J79" s="207">
        <f t="shared" si="88"/>
        <v>3.7681228049238782</v>
      </c>
      <c r="K79" s="207">
        <f t="shared" si="88"/>
        <v>4.707231502607188</v>
      </c>
      <c r="L79" s="207">
        <f t="shared" si="88"/>
        <v>5.0200021686282001</v>
      </c>
      <c r="M79" s="207">
        <f t="shared" si="88"/>
        <v>3.6514899148063007</v>
      </c>
      <c r="N79" s="207">
        <f t="shared" si="88"/>
        <v>3.9933237199488247</v>
      </c>
      <c r="O79" s="207">
        <f t="shared" si="88"/>
        <v>3.3260119254006728</v>
      </c>
      <c r="P79" s="207">
        <f t="shared" si="88"/>
        <v>3.6389287721121848</v>
      </c>
      <c r="Q79" s="206">
        <f>Q124/Q34</f>
        <v>3.9026556406395079</v>
      </c>
      <c r="R79" s="160">
        <f t="shared" si="85"/>
        <v>-7.0436884283080481E-3</v>
      </c>
      <c r="S79" s="247"/>
      <c r="T79" s="206">
        <f>T124/T34</f>
        <v>3.7224818219285307</v>
      </c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</row>
    <row r="80" spans="1:31" s="116" customFormat="1" ht="24" customHeight="1">
      <c r="A80" s="133"/>
      <c r="B80" s="208" t="s">
        <v>23</v>
      </c>
      <c r="C80" s="205"/>
      <c r="D80" s="209">
        <v>3.7046950504397</v>
      </c>
      <c r="E80" s="207">
        <f t="shared" ref="E80:P82" si="89">E155+E180</f>
        <v>3.1189132703327762</v>
      </c>
      <c r="F80" s="207">
        <f t="shared" si="89"/>
        <v>4.282634680872131</v>
      </c>
      <c r="G80" s="207">
        <f t="shared" si="89"/>
        <v>3.3271955566453824</v>
      </c>
      <c r="H80" s="207">
        <f t="shared" si="89"/>
        <v>3.6438942702537669</v>
      </c>
      <c r="I80" s="207">
        <f t="shared" si="89"/>
        <v>3.2898764875800146</v>
      </c>
      <c r="J80" s="207">
        <f t="shared" si="89"/>
        <v>3.5780969398779523</v>
      </c>
      <c r="K80" s="207">
        <f t="shared" si="89"/>
        <v>4.4782459710416669</v>
      </c>
      <c r="L80" s="207">
        <f t="shared" si="89"/>
        <v>4.7773768696978509</v>
      </c>
      <c r="M80" s="207">
        <f t="shared" si="89"/>
        <v>3.4700202976790933</v>
      </c>
      <c r="N80" s="207">
        <f t="shared" si="89"/>
        <v>3.8008959509509759</v>
      </c>
      <c r="O80" s="207">
        <f t="shared" si="89"/>
        <v>3.1635181490713311</v>
      </c>
      <c r="P80" s="207">
        <f t="shared" si="89"/>
        <v>3.31069437590955</v>
      </c>
      <c r="Q80" s="206">
        <f t="shared" ref="Q80" si="90">Q125/Q35</f>
        <v>3.7011023605115261</v>
      </c>
      <c r="R80" s="160">
        <f t="shared" si="85"/>
        <v>3.5926899281739644E-3</v>
      </c>
      <c r="S80" s="247"/>
      <c r="T80" s="206">
        <f t="shared" ref="T80:T81" si="91">T125/T35</f>
        <v>3.5420003534996871</v>
      </c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</row>
    <row r="81" spans="1:31" s="116" customFormat="1" ht="24" customHeight="1">
      <c r="A81" s="133"/>
      <c r="B81" s="208" t="s">
        <v>24</v>
      </c>
      <c r="C81" s="205"/>
      <c r="D81" s="209">
        <v>3.6542517170603102</v>
      </c>
      <c r="E81" s="207">
        <f t="shared" si="89"/>
        <v>3.0695912165488304</v>
      </c>
      <c r="F81" s="207">
        <f t="shared" si="89"/>
        <v>4.2181292656680043</v>
      </c>
      <c r="G81" s="207">
        <f t="shared" si="89"/>
        <v>3.2776508594772684</v>
      </c>
      <c r="H81" s="207">
        <f t="shared" si="89"/>
        <v>3.5930574864159173</v>
      </c>
      <c r="I81" s="207">
        <f t="shared" si="89"/>
        <v>3.2452076297725014</v>
      </c>
      <c r="J81" s="207">
        <f t="shared" si="89"/>
        <v>3.5305600087125288</v>
      </c>
      <c r="K81" s="207">
        <f t="shared" si="89"/>
        <v>4.4158040054581988</v>
      </c>
      <c r="L81" s="207">
        <f t="shared" si="89"/>
        <v>4.7109712889775262</v>
      </c>
      <c r="M81" s="207">
        <f t="shared" si="89"/>
        <v>3.4250981345218046</v>
      </c>
      <c r="N81" s="207">
        <f t="shared" si="89"/>
        <v>3.7511679234404123</v>
      </c>
      <c r="O81" s="207">
        <f t="shared" si="89"/>
        <v>3.129277740596057</v>
      </c>
      <c r="P81" s="207">
        <f t="shared" si="89"/>
        <v>3.0880720285028027</v>
      </c>
      <c r="Q81" s="206">
        <f t="shared" ref="Q81" si="92">Q126/Q36</f>
        <v>3.6542517170603106</v>
      </c>
      <c r="R81" s="160">
        <f t="shared" si="85"/>
        <v>0</v>
      </c>
      <c r="S81" s="247"/>
      <c r="T81" s="206">
        <f t="shared" si="91"/>
        <v>3.4892137722848284</v>
      </c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</row>
    <row r="82" spans="1:31" s="116" customFormat="1" ht="24" customHeight="1">
      <c r="A82" s="133"/>
      <c r="B82" s="208" t="s">
        <v>25</v>
      </c>
      <c r="C82" s="205"/>
      <c r="D82" s="209">
        <v>4.1463263907220096</v>
      </c>
      <c r="E82" s="207">
        <f t="shared" si="89"/>
        <v>3.4880525100232465</v>
      </c>
      <c r="F82" s="207">
        <f t="shared" si="89"/>
        <v>4.6868455020295761</v>
      </c>
      <c r="G82" s="207">
        <f t="shared" si="89"/>
        <v>3.7246927638717287</v>
      </c>
      <c r="H82" s="207">
        <f t="shared" si="89"/>
        <v>3.9803095602971084</v>
      </c>
      <c r="I82" s="207">
        <f t="shared" si="89"/>
        <v>3.6887421127386544</v>
      </c>
      <c r="J82" s="207">
        <f t="shared" si="89"/>
        <v>4.0121720188065444</v>
      </c>
      <c r="K82" s="207">
        <f t="shared" si="89"/>
        <v>5.0031478226331316</v>
      </c>
      <c r="L82" s="207">
        <f t="shared" si="89"/>
        <v>5.3370225421102653</v>
      </c>
      <c r="M82" s="207">
        <f t="shared" si="89"/>
        <v>3.8834420600944863</v>
      </c>
      <c r="N82" s="207">
        <f t="shared" si="89"/>
        <v>4.1522717556052262</v>
      </c>
      <c r="O82" s="207">
        <f t="shared" si="89"/>
        <v>3.5502720750493721</v>
      </c>
      <c r="P82" s="207">
        <f t="shared" si="89"/>
        <v>3.6664359352722133</v>
      </c>
      <c r="Q82" s="206">
        <f t="shared" ref="Q82" si="93">Q127/Q37</f>
        <v>4.142954033914882</v>
      </c>
      <c r="R82" s="160">
        <f t="shared" si="85"/>
        <v>3.3723568071275523E-3</v>
      </c>
      <c r="S82" s="247"/>
      <c r="T82" s="206">
        <f>T127/T37</f>
        <v>3.9291123198492945</v>
      </c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</row>
    <row r="83" spans="1:31" s="116" customFormat="1" ht="24" customHeight="1">
      <c r="A83" s="129">
        <v>17</v>
      </c>
      <c r="B83" s="139" t="s">
        <v>51</v>
      </c>
      <c r="C83" s="129" t="s">
        <v>52</v>
      </c>
      <c r="D83" s="140">
        <v>8342.8148393617848</v>
      </c>
      <c r="E83" s="132">
        <f>SUM(E84:E87)</f>
        <v>628.70486359234758</v>
      </c>
      <c r="F83" s="132">
        <f>SUM(F84:F87)</f>
        <v>620.97270578733242</v>
      </c>
      <c r="G83" s="132">
        <f t="shared" ref="G83" si="94">SUM(G84:G87)</f>
        <v>617.98383760007516</v>
      </c>
      <c r="H83" s="132">
        <f t="shared" ref="H83:Q83" si="95">SUM(H84:H87)</f>
        <v>618.96494176268277</v>
      </c>
      <c r="I83" s="132">
        <f t="shared" si="95"/>
        <v>600.77389193213332</v>
      </c>
      <c r="J83" s="132">
        <f t="shared" si="95"/>
        <v>588.74218005273701</v>
      </c>
      <c r="K83" s="132">
        <f t="shared" si="95"/>
        <v>696.69822224794427</v>
      </c>
      <c r="L83" s="132">
        <f t="shared" si="95"/>
        <v>767.51311459430076</v>
      </c>
      <c r="M83" s="132">
        <f t="shared" si="95"/>
        <v>709.22392038096439</v>
      </c>
      <c r="N83" s="132">
        <f t="shared" si="95"/>
        <v>753.79909194938864</v>
      </c>
      <c r="O83" s="132">
        <f t="shared" si="95"/>
        <v>713.83480751769685</v>
      </c>
      <c r="P83" s="132">
        <f t="shared" si="95"/>
        <v>675.61960955370068</v>
      </c>
      <c r="Q83" s="132">
        <f t="shared" si="95"/>
        <v>7992.8311869713043</v>
      </c>
      <c r="R83" s="160">
        <f t="shared" si="85"/>
        <v>349.98365239048053</v>
      </c>
      <c r="S83" s="161"/>
      <c r="T83" s="249">
        <f>E83+F83+G83+H83+I83+J83</f>
        <v>3676.1424207273085</v>
      </c>
    </row>
    <row r="84" spans="1:31" s="116" customFormat="1" ht="24" customHeight="1">
      <c r="A84" s="133"/>
      <c r="B84" s="134" t="s">
        <v>22</v>
      </c>
      <c r="C84" s="172">
        <v>0.133612011900335</v>
      </c>
      <c r="D84" s="142">
        <v>2778.03048380873</v>
      </c>
      <c r="E84" s="145">
        <f>E39*E114/10000</f>
        <v>227.9677343636379</v>
      </c>
      <c r="F84" s="145">
        <f>F39*F114/10000</f>
        <v>227.5961192034105</v>
      </c>
      <c r="G84" s="145">
        <f t="shared" ref="G84:P84" si="96">G39*G114/10000</f>
        <v>228.72243822248714</v>
      </c>
      <c r="H84" s="145">
        <f t="shared" si="96"/>
        <v>232.10968172411305</v>
      </c>
      <c r="I84" s="145">
        <f t="shared" si="96"/>
        <v>237.85541590843596</v>
      </c>
      <c r="J84" s="145">
        <f t="shared" si="96"/>
        <v>242.83208580520912</v>
      </c>
      <c r="K84" s="145">
        <f t="shared" si="96"/>
        <v>284.41983797307881</v>
      </c>
      <c r="L84" s="145">
        <f t="shared" si="96"/>
        <v>239.78802858534408</v>
      </c>
      <c r="M84" s="145">
        <f t="shared" si="96"/>
        <v>229.75633151560692</v>
      </c>
      <c r="N84" s="145">
        <f t="shared" si="96"/>
        <v>258.69004567175818</v>
      </c>
      <c r="O84" s="145">
        <f t="shared" si="96"/>
        <v>255.94786999543282</v>
      </c>
      <c r="P84" s="145">
        <f t="shared" si="96"/>
        <v>239.65353321860712</v>
      </c>
      <c r="Q84" s="163">
        <f>SUM(E84:P84)</f>
        <v>2905.339122187122</v>
      </c>
      <c r="R84" s="160">
        <f t="shared" si="85"/>
        <v>-127.30863837839206</v>
      </c>
      <c r="S84" s="161"/>
      <c r="T84" s="249">
        <f t="shared" ref="T84:T87" si="97">E84+F84+G84+H84+I84+J84</f>
        <v>1397.0834752272938</v>
      </c>
    </row>
    <row r="85" spans="1:31" s="116" customFormat="1" ht="24" customHeight="1">
      <c r="A85" s="133"/>
      <c r="B85" s="134" t="s">
        <v>23</v>
      </c>
      <c r="C85" s="172">
        <v>9.8437541428140998E-2</v>
      </c>
      <c r="D85" s="142">
        <v>3195.1094136827037</v>
      </c>
      <c r="E85" s="145">
        <f t="shared" ref="E85" si="98">E40*E115/10000</f>
        <v>237.82701177792103</v>
      </c>
      <c r="F85" s="145">
        <f t="shared" ref="F85" si="99">F40*F115/10000</f>
        <v>237.4395059581073</v>
      </c>
      <c r="G85" s="145">
        <f t="shared" ref="G85:P85" si="100">G40*G115/10000</f>
        <v>238.61471861601356</v>
      </c>
      <c r="H85" s="145">
        <f t="shared" si="100"/>
        <v>230.61734811630049</v>
      </c>
      <c r="I85" s="145">
        <f t="shared" si="100"/>
        <v>218.53403031574325</v>
      </c>
      <c r="J85" s="145">
        <f t="shared" si="100"/>
        <v>211.11175695675212</v>
      </c>
      <c r="K85" s="145">
        <f t="shared" si="100"/>
        <v>247.26758918006058</v>
      </c>
      <c r="L85" s="145">
        <f t="shared" si="100"/>
        <v>295.64215465421995</v>
      </c>
      <c r="M85" s="145">
        <f t="shared" si="100"/>
        <v>277.33084220155462</v>
      </c>
      <c r="N85" s="145">
        <f t="shared" si="100"/>
        <v>286.23440805836736</v>
      </c>
      <c r="O85" s="145">
        <f t="shared" si="100"/>
        <v>283.20086015848369</v>
      </c>
      <c r="P85" s="145">
        <f t="shared" si="100"/>
        <v>266.28360140393062</v>
      </c>
      <c r="Q85" s="163">
        <f t="shared" ref="Q85" si="101">SUM(E85:P85)</f>
        <v>3030.103827397455</v>
      </c>
      <c r="R85" s="160">
        <f t="shared" si="85"/>
        <v>165.00558628524868</v>
      </c>
      <c r="S85" s="161"/>
      <c r="T85" s="249">
        <f t="shared" si="97"/>
        <v>1374.1443717408376</v>
      </c>
    </row>
    <row r="86" spans="1:31" s="116" customFormat="1" ht="24" customHeight="1">
      <c r="A86" s="133"/>
      <c r="B86" s="134" t="s">
        <v>24</v>
      </c>
      <c r="C86" s="172">
        <v>0.107703872348706</v>
      </c>
      <c r="D86" s="142">
        <v>810.54827622952894</v>
      </c>
      <c r="E86" s="145">
        <f t="shared" ref="E86" si="102">E41*E116/10000</f>
        <v>74.618905538588308</v>
      </c>
      <c r="F86" s="145">
        <f>F41*F116/10000</f>
        <v>71.424986928690032</v>
      </c>
      <c r="G86" s="145">
        <f t="shared" ref="G86:P86" si="103">G41*G116/10000</f>
        <v>69.001780655107339</v>
      </c>
      <c r="H86" s="145">
        <f t="shared" si="103"/>
        <v>71.563146257871395</v>
      </c>
      <c r="I86" s="145">
        <f t="shared" si="103"/>
        <v>66.133620071367034</v>
      </c>
      <c r="J86" s="145">
        <f t="shared" si="103"/>
        <v>61.742997860177361</v>
      </c>
      <c r="K86" s="145">
        <f t="shared" si="103"/>
        <v>75.581280081562326</v>
      </c>
      <c r="L86" s="145">
        <f t="shared" si="103"/>
        <v>75.581280081562326</v>
      </c>
      <c r="M86" s="145">
        <f t="shared" si="103"/>
        <v>65.828856845231712</v>
      </c>
      <c r="N86" s="145">
        <f t="shared" si="103"/>
        <v>68.023152073406095</v>
      </c>
      <c r="O86" s="145">
        <f t="shared" si="103"/>
        <v>56.889135545261958</v>
      </c>
      <c r="P86" s="145">
        <f t="shared" si="103"/>
        <v>54.159134290703022</v>
      </c>
      <c r="Q86" s="163">
        <f>SUM(E86:P86)</f>
        <v>810.54827622952894</v>
      </c>
      <c r="R86" s="160">
        <f t="shared" si="85"/>
        <v>0</v>
      </c>
      <c r="S86" s="161"/>
      <c r="T86" s="249">
        <f t="shared" si="97"/>
        <v>414.48543731180143</v>
      </c>
    </row>
    <row r="87" spans="1:31" s="116" customFormat="1" ht="24" customHeight="1">
      <c r="A87" s="133"/>
      <c r="B87" s="134" t="s">
        <v>25</v>
      </c>
      <c r="C87" s="172">
        <v>0.10462944606414</v>
      </c>
      <c r="D87" s="142">
        <v>1559.1266656408181</v>
      </c>
      <c r="E87" s="145">
        <f t="shared" ref="E87" si="104">E42*E117/10000</f>
        <v>88.291211912200311</v>
      </c>
      <c r="F87" s="145">
        <f>F42*F117/10000</f>
        <v>84.51209369712457</v>
      </c>
      <c r="G87" s="145">
        <f t="shared" ref="G87:P87" si="105">G42*G117/10000</f>
        <v>81.644900106467034</v>
      </c>
      <c r="H87" s="145">
        <f t="shared" si="105"/>
        <v>84.674765664397754</v>
      </c>
      <c r="I87" s="145">
        <f t="shared" si="105"/>
        <v>78.25082563658718</v>
      </c>
      <c r="J87" s="145">
        <f t="shared" si="105"/>
        <v>73.055339430598323</v>
      </c>
      <c r="K87" s="145">
        <f t="shared" si="105"/>
        <v>89.429515013242508</v>
      </c>
      <c r="L87" s="145">
        <f t="shared" si="105"/>
        <v>156.50165127317436</v>
      </c>
      <c r="M87" s="145">
        <f t="shared" si="105"/>
        <v>136.30788981857123</v>
      </c>
      <c r="N87" s="145">
        <f t="shared" si="105"/>
        <v>140.85148614585697</v>
      </c>
      <c r="O87" s="145">
        <f t="shared" si="105"/>
        <v>117.79694181851838</v>
      </c>
      <c r="P87" s="145">
        <f t="shared" si="105"/>
        <v>115.52334064045994</v>
      </c>
      <c r="Q87" s="163">
        <f>SUM(E87:P87)</f>
        <v>1246.8399611571986</v>
      </c>
      <c r="R87" s="160">
        <f t="shared" si="85"/>
        <v>312.28670448361959</v>
      </c>
      <c r="S87" s="161"/>
      <c r="T87" s="249">
        <f t="shared" si="97"/>
        <v>490.42913644737519</v>
      </c>
    </row>
    <row r="88" spans="1:31" s="116" customFormat="1" ht="24" customHeight="1">
      <c r="A88" s="129">
        <v>18</v>
      </c>
      <c r="B88" s="139" t="s">
        <v>53</v>
      </c>
      <c r="C88" s="129" t="s">
        <v>54</v>
      </c>
      <c r="D88" s="140">
        <f>D89+D90+D91+D92</f>
        <v>1165826.9448585832</v>
      </c>
      <c r="E88" s="132">
        <f>SUM(E89:E92)</f>
        <v>87670.856959823941</v>
      </c>
      <c r="F88" s="132">
        <f t="shared" ref="F88" si="106">SUM(F89:F92)</f>
        <v>86599.905222794332</v>
      </c>
      <c r="G88" s="132">
        <f t="shared" ref="G88:Q88" si="107">SUM(G89:G92)</f>
        <v>86189.725794788363</v>
      </c>
      <c r="H88" s="132">
        <f t="shared" si="107"/>
        <v>86501.514109498938</v>
      </c>
      <c r="I88" s="132">
        <f t="shared" si="107"/>
        <v>84261.868280858107</v>
      </c>
      <c r="J88" s="132">
        <f t="shared" si="107"/>
        <v>82793.519755548157</v>
      </c>
      <c r="K88" s="132">
        <f t="shared" si="107"/>
        <v>97958.990494530954</v>
      </c>
      <c r="L88" s="132">
        <f t="shared" si="107"/>
        <v>107091.40121236054</v>
      </c>
      <c r="M88" s="132">
        <f t="shared" si="107"/>
        <v>99001.676073811337</v>
      </c>
      <c r="N88" s="132">
        <f t="shared" si="107"/>
        <v>105586.16347226285</v>
      </c>
      <c r="O88" s="132">
        <f t="shared" si="107"/>
        <v>99928.069833456771</v>
      </c>
      <c r="P88" s="132">
        <f t="shared" si="107"/>
        <v>94602.508667286136</v>
      </c>
      <c r="Q88" s="132">
        <f t="shared" si="107"/>
        <v>1118186.1998770204</v>
      </c>
      <c r="R88" s="160">
        <f t="shared" si="85"/>
        <v>47640.744981562719</v>
      </c>
      <c r="S88" s="161"/>
      <c r="T88" s="249">
        <f>E88+F88+G88+H88+I88+J88</f>
        <v>514017.39012331178</v>
      </c>
    </row>
    <row r="89" spans="1:31" s="116" customFormat="1" ht="24" customHeight="1">
      <c r="A89" s="133"/>
      <c r="B89" s="134" t="s">
        <v>22</v>
      </c>
      <c r="C89" s="135"/>
      <c r="D89" s="142">
        <v>434385.32258323737</v>
      </c>
      <c r="E89" s="145">
        <f>E99*E44</f>
        <v>35646.058748193449</v>
      </c>
      <c r="F89" s="145">
        <f>F99*F44</f>
        <v>35587.951332816607</v>
      </c>
      <c r="G89" s="145">
        <f t="shared" ref="G89" si="108">G99*G44</f>
        <v>35764.067632938146</v>
      </c>
      <c r="H89" s="145">
        <f t="shared" ref="H89:O92" si="109">H99*H44</f>
        <v>36293.712238962944</v>
      </c>
      <c r="I89" s="145">
        <f t="shared" si="109"/>
        <v>37192.141040115886</v>
      </c>
      <c r="J89" s="145">
        <f t="shared" si="109"/>
        <v>37970.315495399846</v>
      </c>
      <c r="K89" s="145">
        <f t="shared" si="109"/>
        <v>44473.163194962945</v>
      </c>
      <c r="L89" s="145">
        <f t="shared" si="109"/>
        <v>37494.333037640783</v>
      </c>
      <c r="M89" s="145">
        <f t="shared" si="109"/>
        <v>35925.731831465135</v>
      </c>
      <c r="N89" s="145">
        <f t="shared" si="109"/>
        <v>40449.937318231219</v>
      </c>
      <c r="O89" s="145">
        <f t="shared" si="109"/>
        <v>40021.158414370031</v>
      </c>
      <c r="P89" s="210">
        <f>P99*P44</f>
        <v>37473.302738079095</v>
      </c>
      <c r="Q89" s="163">
        <f>SUM(E89:P89)</f>
        <v>454291.8730231761</v>
      </c>
      <c r="R89" s="160">
        <f>D89-Q89</f>
        <v>-19906.550439938728</v>
      </c>
      <c r="S89" s="161">
        <v>-559.89258009108005</v>
      </c>
      <c r="T89" s="249">
        <f t="shared" ref="T89:T107" si="110">E89+F89+G89+H89+I89+J89</f>
        <v>218454.24648842687</v>
      </c>
    </row>
    <row r="90" spans="1:31" s="116" customFormat="1" ht="24" customHeight="1">
      <c r="A90" s="133"/>
      <c r="B90" s="134" t="s">
        <v>23</v>
      </c>
      <c r="C90" s="135"/>
      <c r="D90" s="142">
        <v>396108.39018426638</v>
      </c>
      <c r="E90" s="145">
        <f t="shared" ref="E90" si="111">E100*E45</f>
        <v>29484.209327625282</v>
      </c>
      <c r="F90" s="145">
        <f t="shared" ref="F90" si="112">F100*F45</f>
        <v>29436.168936327216</v>
      </c>
      <c r="G90" s="145">
        <f>G100*G45</f>
        <v>29581.86397639499</v>
      </c>
      <c r="H90" s="145">
        <f t="shared" si="109"/>
        <v>28590.403233053112</v>
      </c>
      <c r="I90" s="145">
        <f t="shared" si="109"/>
        <v>27092.393950001082</v>
      </c>
      <c r="J90" s="145">
        <f t="shared" si="109"/>
        <v>26172.229920829741</v>
      </c>
      <c r="K90" s="145">
        <f t="shared" si="109"/>
        <v>30654.58925300671</v>
      </c>
      <c r="L90" s="145">
        <f t="shared" si="109"/>
        <v>36651.745774087132</v>
      </c>
      <c r="M90" s="145">
        <f t="shared" si="109"/>
        <v>34381.631183730678</v>
      </c>
      <c r="N90" s="145">
        <f t="shared" si="109"/>
        <v>35485.435993462277</v>
      </c>
      <c r="O90" s="145">
        <f t="shared" si="109"/>
        <v>35109.35692398691</v>
      </c>
      <c r="P90" s="210">
        <f>P100*P45</f>
        <v>33012.067828690168</v>
      </c>
      <c r="Q90" s="163">
        <f t="shared" ref="Q90" si="113">SUM(E90:P90)</f>
        <v>375652.09630119527</v>
      </c>
      <c r="R90" s="160">
        <f t="shared" si="85"/>
        <v>20456.293883071106</v>
      </c>
      <c r="S90" s="161">
        <v>-60.697016200574602</v>
      </c>
      <c r="T90" s="249">
        <f t="shared" si="110"/>
        <v>170357.2693442314</v>
      </c>
    </row>
    <row r="91" spans="1:31" s="116" customFormat="1" ht="24" customHeight="1">
      <c r="A91" s="133"/>
      <c r="B91" s="134" t="s">
        <v>24</v>
      </c>
      <c r="C91" s="135"/>
      <c r="D91" s="142">
        <v>100226.08485692344</v>
      </c>
      <c r="E91" s="145">
        <f t="shared" ref="E91" si="114">E101*E46</f>
        <v>9226.792503008779</v>
      </c>
      <c r="F91" s="145">
        <f>F101*F46</f>
        <v>8831.8574115286483</v>
      </c>
      <c r="G91" s="145">
        <f>G101*G46</f>
        <v>8532.2226029374888</v>
      </c>
      <c r="H91" s="145">
        <f t="shared" si="109"/>
        <v>8848.9411177758811</v>
      </c>
      <c r="I91" s="145">
        <f t="shared" si="109"/>
        <v>8177.5682109912714</v>
      </c>
      <c r="J91" s="145">
        <f t="shared" si="109"/>
        <v>7634.6580756932035</v>
      </c>
      <c r="K91" s="145">
        <f t="shared" si="109"/>
        <v>9345.7922411328818</v>
      </c>
      <c r="L91" s="145">
        <f t="shared" si="109"/>
        <v>9345.7922411328818</v>
      </c>
      <c r="M91" s="145">
        <f t="shared" si="109"/>
        <v>8139.8835648576714</v>
      </c>
      <c r="N91" s="145">
        <f t="shared" si="109"/>
        <v>8411.2130170195942</v>
      </c>
      <c r="O91" s="145">
        <f t="shared" si="109"/>
        <v>7034.46727827206</v>
      </c>
      <c r="P91" s="210">
        <f>P101*P46</f>
        <v>6696.8965925730772</v>
      </c>
      <c r="Q91" s="163">
        <f>SUM(E91:P91)</f>
        <v>100226.08485692342</v>
      </c>
      <c r="R91" s="160">
        <f t="shared" si="85"/>
        <v>0</v>
      </c>
      <c r="S91" s="161">
        <v>11.898226224322601</v>
      </c>
      <c r="T91" s="249">
        <f t="shared" si="110"/>
        <v>51252.039921935269</v>
      </c>
    </row>
    <row r="92" spans="1:31" s="116" customFormat="1" ht="24" customHeight="1">
      <c r="A92" s="133"/>
      <c r="B92" s="134" t="s">
        <v>25</v>
      </c>
      <c r="C92" s="135"/>
      <c r="D92" s="142">
        <v>235107.14723415606</v>
      </c>
      <c r="E92" s="145">
        <f t="shared" ref="E92" si="115">E102*E47</f>
        <v>13313.796380996428</v>
      </c>
      <c r="F92" s="145">
        <f>F102*F47</f>
        <v>12743.92754212187</v>
      </c>
      <c r="G92" s="145">
        <f>G102*G47</f>
        <v>12311.571582517725</v>
      </c>
      <c r="H92" s="145">
        <f t="shared" si="109"/>
        <v>12768.457519707013</v>
      </c>
      <c r="I92" s="145">
        <f t="shared" si="109"/>
        <v>11799.765079749868</v>
      </c>
      <c r="J92" s="145">
        <f t="shared" si="109"/>
        <v>11016.316263625362</v>
      </c>
      <c r="K92" s="145">
        <f t="shared" si="109"/>
        <v>13485.445805428424</v>
      </c>
      <c r="L92" s="145">
        <f t="shared" si="109"/>
        <v>23599.530159499736</v>
      </c>
      <c r="M92" s="145">
        <f t="shared" si="109"/>
        <v>20554.429493757838</v>
      </c>
      <c r="N92" s="145">
        <f t="shared" si="109"/>
        <v>21239.57714354977</v>
      </c>
      <c r="O92" s="145">
        <f t="shared" si="109"/>
        <v>17763.087216827767</v>
      </c>
      <c r="P92" s="210">
        <f>P102*P47</f>
        <v>17420.241507943789</v>
      </c>
      <c r="Q92" s="163">
        <f>SUM(E92:P92)</f>
        <v>188016.14569572557</v>
      </c>
      <c r="R92" s="160">
        <f t="shared" si="85"/>
        <v>47091.001538430486</v>
      </c>
      <c r="S92" s="161">
        <v>-559.76840589515598</v>
      </c>
      <c r="T92" s="249">
        <f t="shared" si="110"/>
        <v>73953.834368718264</v>
      </c>
    </row>
    <row r="93" spans="1:31" s="116" customFormat="1" ht="24" customHeight="1">
      <c r="A93" s="129">
        <v>19</v>
      </c>
      <c r="B93" s="139" t="s">
        <v>55</v>
      </c>
      <c r="C93" s="129" t="s">
        <v>30</v>
      </c>
      <c r="D93" s="140">
        <f>D94+D95+D96+D97</f>
        <v>7897.7028737302953</v>
      </c>
      <c r="E93" s="138">
        <f>SUM(E94:E97)</f>
        <v>590.37607933286279</v>
      </c>
      <c r="F93" s="138">
        <f t="shared" ref="F93" si="116">SUM(F94:F97)</f>
        <v>584.25378413875114</v>
      </c>
      <c r="G93" s="138">
        <f t="shared" ref="G93:Q93" si="117">SUM(G94:G97)</f>
        <v>582.48169249261514</v>
      </c>
      <c r="H93" s="138">
        <f t="shared" si="117"/>
        <v>585.97990117732638</v>
      </c>
      <c r="I93" s="138">
        <f t="shared" si="117"/>
        <v>576.49099725936924</v>
      </c>
      <c r="J93" s="138">
        <f t="shared" si="117"/>
        <v>570.83145476970697</v>
      </c>
      <c r="K93" s="138">
        <f t="shared" si="117"/>
        <v>674.07590252196098</v>
      </c>
      <c r="L93" s="138">
        <f t="shared" si="117"/>
        <v>721.48492632107047</v>
      </c>
      <c r="M93" s="138">
        <f t="shared" si="117"/>
        <v>669.72115840043159</v>
      </c>
      <c r="N93" s="138">
        <f t="shared" si="117"/>
        <v>720.3725768488282</v>
      </c>
      <c r="O93" s="138">
        <f t="shared" si="117"/>
        <v>684.92083429160073</v>
      </c>
      <c r="P93" s="138">
        <f t="shared" si="117"/>
        <v>648.21930147870773</v>
      </c>
      <c r="Q93" s="138">
        <f t="shared" si="117"/>
        <v>7609.2086090332314</v>
      </c>
      <c r="R93" s="160">
        <f t="shared" si="85"/>
        <v>288.49426469706395</v>
      </c>
      <c r="S93" s="161"/>
      <c r="T93" s="249">
        <f t="shared" si="110"/>
        <v>3490.4139091706315</v>
      </c>
    </row>
    <row r="94" spans="1:31" s="116" customFormat="1" ht="24" customHeight="1">
      <c r="A94" s="133"/>
      <c r="B94" s="134" t="s">
        <v>22</v>
      </c>
      <c r="C94" s="172">
        <f>(D19-D94)/D89</f>
        <v>8.5757914400034649E-2</v>
      </c>
      <c r="D94" s="142">
        <v>3728.6454392752453</v>
      </c>
      <c r="E94" s="173">
        <f t="shared" ref="E94" si="118">E19-E89*$C94</f>
        <v>305.97607117381449</v>
      </c>
      <c r="F94" s="173">
        <f t="shared" ref="F94" si="119">F19-F89*$C94</f>
        <v>305.47729292770691</v>
      </c>
      <c r="G94" s="173">
        <f t="shared" ref="G94" si="120">G19-G89*$C94</f>
        <v>306.9890273374358</v>
      </c>
      <c r="H94" s="173">
        <f t="shared" ref="H94:P94" si="121">H19-H89*$C94</f>
        <v>311.5353525515261</v>
      </c>
      <c r="I94" s="173">
        <f t="shared" si="121"/>
        <v>319.24722097288804</v>
      </c>
      <c r="J94" s="173">
        <f t="shared" si="121"/>
        <v>325.9268588031905</v>
      </c>
      <c r="K94" s="173">
        <f t="shared" si="121"/>
        <v>381.74553442759679</v>
      </c>
      <c r="L94" s="173">
        <f t="shared" si="121"/>
        <v>321.84115487161125</v>
      </c>
      <c r="M94" s="173">
        <f t="shared" si="121"/>
        <v>308.37670883861301</v>
      </c>
      <c r="N94" s="173">
        <f t="shared" si="121"/>
        <v>347.21125797636023</v>
      </c>
      <c r="O94" s="173">
        <f t="shared" si="121"/>
        <v>343.53073651022851</v>
      </c>
      <c r="P94" s="173">
        <f t="shared" si="121"/>
        <v>321.6606365012367</v>
      </c>
      <c r="Q94" s="176">
        <f>SUM(E94:P94)</f>
        <v>3899.5178528922083</v>
      </c>
      <c r="R94" s="160">
        <f t="shared" si="85"/>
        <v>-170.87241361696306</v>
      </c>
      <c r="S94" s="161"/>
      <c r="T94" s="249">
        <f t="shared" si="110"/>
        <v>1875.1518237665618</v>
      </c>
    </row>
    <row r="95" spans="1:31" s="116" customFormat="1" ht="24" customHeight="1">
      <c r="A95" s="133"/>
      <c r="B95" s="134" t="s">
        <v>23</v>
      </c>
      <c r="C95" s="172">
        <f>(D20-D95)/D90</f>
        <v>8.1814228162792754E-2</v>
      </c>
      <c r="D95" s="142">
        <v>2137.0917882678823</v>
      </c>
      <c r="E95" s="173">
        <f t="shared" ref="E95" si="122">E20-E90*$C95</f>
        <v>159.0737868701226</v>
      </c>
      <c r="F95" s="173">
        <f>F20-F90*$C95</f>
        <v>158.81459840481239</v>
      </c>
      <c r="G95" s="173">
        <f t="shared" ref="G95" si="123">G20-G90*$C95</f>
        <v>159.60065515452015</v>
      </c>
      <c r="H95" s="173">
        <f t="shared" ref="H95" si="124">H20-H90*$C95</f>
        <v>154.25150662474471</v>
      </c>
      <c r="I95" s="173">
        <f t="shared" ref="I95" si="125">I20-I90*$C95</f>
        <v>146.16941743680718</v>
      </c>
      <c r="J95" s="173">
        <f t="shared" ref="J95" si="126">J20-J90*$C95</f>
        <v>141.20493034354831</v>
      </c>
      <c r="K95" s="173">
        <f t="shared" ref="K95" si="127">K20-K90*$C95</f>
        <v>165.38824369473696</v>
      </c>
      <c r="L95" s="173">
        <f t="shared" ref="L95" si="128">L20-L90*$C95</f>
        <v>197.74422067415981</v>
      </c>
      <c r="M95" s="173">
        <f t="shared" ref="M95" si="129">M20-M90*$C95</f>
        <v>185.49645372526766</v>
      </c>
      <c r="N95" s="173">
        <f t="shared" ref="N95" si="130">N20-N90*$C95</f>
        <v>191.4517231746986</v>
      </c>
      <c r="O95" s="173">
        <f t="shared" ref="O95" si="131">O20-O90*$C95</f>
        <v>189.42269397200744</v>
      </c>
      <c r="P95" s="173">
        <f t="shared" ref="P95" si="132">P20-P90*$C95</f>
        <v>178.10735853794176</v>
      </c>
      <c r="Q95" s="176">
        <f t="shared" ref="Q95" si="133">SUM(E95:P95)</f>
        <v>2026.7255886133676</v>
      </c>
      <c r="R95" s="160">
        <f t="shared" si="85"/>
        <v>110.36619965451473</v>
      </c>
      <c r="S95" s="161"/>
      <c r="T95" s="249">
        <f t="shared" si="110"/>
        <v>919.11489483455534</v>
      </c>
    </row>
    <row r="96" spans="1:31" s="116" customFormat="1" ht="24" customHeight="1">
      <c r="A96" s="133"/>
      <c r="B96" s="134" t="s">
        <v>24</v>
      </c>
      <c r="C96" s="172">
        <f>(D21-D96)/D91</f>
        <v>8.1177185539058255E-2</v>
      </c>
      <c r="D96" s="142">
        <v>289.5413137161305</v>
      </c>
      <c r="E96" s="173">
        <f>E21-E91*$C96</f>
        <v>26.655113052864522</v>
      </c>
      <c r="F96" s="173">
        <f>F21-F91*$C96</f>
        <v>25.514192249832149</v>
      </c>
      <c r="G96" s="173">
        <f t="shared" ref="G96:P96" si="134">G21-G91*$C96</f>
        <v>24.648582700796851</v>
      </c>
      <c r="H96" s="173">
        <f t="shared" si="134"/>
        <v>25.563545058105774</v>
      </c>
      <c r="I96" s="173">
        <f t="shared" si="134"/>
        <v>23.624028078056767</v>
      </c>
      <c r="J96" s="173">
        <f t="shared" si="134"/>
        <v>22.055624862183436</v>
      </c>
      <c r="K96" s="173">
        <f t="shared" si="134"/>
        <v>26.998889232064926</v>
      </c>
      <c r="L96" s="173">
        <f t="shared" si="134"/>
        <v>26.998889232064926</v>
      </c>
      <c r="M96" s="173">
        <f t="shared" si="134"/>
        <v>23.515161589217882</v>
      </c>
      <c r="N96" s="173">
        <f t="shared" si="134"/>
        <v>24.299000308858467</v>
      </c>
      <c r="O96" s="173">
        <f t="shared" si="134"/>
        <v>20.321744583274835</v>
      </c>
      <c r="P96" s="173">
        <f t="shared" si="134"/>
        <v>19.346542768808263</v>
      </c>
      <c r="Q96" s="176">
        <f>SUM(E96:P96)</f>
        <v>289.5413137161288</v>
      </c>
      <c r="R96" s="160">
        <f t="shared" si="85"/>
        <v>1.7053025658242404E-12</v>
      </c>
      <c r="S96" s="161"/>
      <c r="T96" s="249">
        <f t="shared" si="110"/>
        <v>148.0610860018395</v>
      </c>
    </row>
    <row r="97" spans="1:20" s="116" customFormat="1" ht="24" customHeight="1">
      <c r="A97" s="133"/>
      <c r="B97" s="134" t="s">
        <v>25</v>
      </c>
      <c r="C97" s="172">
        <f>(D22-D97)/D92</f>
        <v>8.8320815048842871E-2</v>
      </c>
      <c r="D97" s="142">
        <v>1742.4243324710365</v>
      </c>
      <c r="E97" s="173">
        <f>E22-E92*$C97</f>
        <v>98.671108236061173</v>
      </c>
      <c r="F97" s="173">
        <f>F22-F92*$C97</f>
        <v>94.447700556399695</v>
      </c>
      <c r="G97" s="173">
        <f t="shared" ref="G97:P97" si="135">G22-G92*$C97</f>
        <v>91.243427299862333</v>
      </c>
      <c r="H97" s="173">
        <f t="shared" si="135"/>
        <v>94.6294969429498</v>
      </c>
      <c r="I97" s="173">
        <f t="shared" si="135"/>
        <v>87.450330771617246</v>
      </c>
      <c r="J97" s="173">
        <f t="shared" si="135"/>
        <v>81.644040760784719</v>
      </c>
      <c r="K97" s="173">
        <f t="shared" si="135"/>
        <v>99.943235167562307</v>
      </c>
      <c r="L97" s="173">
        <f t="shared" si="135"/>
        <v>174.90066154323449</v>
      </c>
      <c r="M97" s="173">
        <f t="shared" si="135"/>
        <v>152.33283424733304</v>
      </c>
      <c r="N97" s="173">
        <f t="shared" si="135"/>
        <v>157.41059538891091</v>
      </c>
      <c r="O97" s="173">
        <f t="shared" si="135"/>
        <v>131.64565922608995</v>
      </c>
      <c r="P97" s="173">
        <f t="shared" si="135"/>
        <v>129.10476367072101</v>
      </c>
      <c r="Q97" s="176">
        <f>SUM(E97:P97)</f>
        <v>1393.4238538115267</v>
      </c>
      <c r="R97" s="160">
        <f t="shared" si="85"/>
        <v>349.00047865950978</v>
      </c>
      <c r="S97" s="161"/>
      <c r="T97" s="249">
        <f t="shared" si="110"/>
        <v>548.08610456767497</v>
      </c>
    </row>
    <row r="98" spans="1:20" s="116" customFormat="1" ht="24" customHeight="1">
      <c r="A98" s="129">
        <v>20</v>
      </c>
      <c r="B98" s="139" t="s">
        <v>56</v>
      </c>
      <c r="C98" s="129" t="s">
        <v>57</v>
      </c>
      <c r="D98" s="140">
        <f>D99+D100+D101+D102</f>
        <v>1296886.6318327787</v>
      </c>
      <c r="E98" s="132">
        <f>SUM(E99:E102)</f>
        <v>97527.173490350207</v>
      </c>
      <c r="F98" s="132">
        <f t="shared" ref="F98" si="136">SUM(F99:F102)</f>
        <v>96333.530129789389</v>
      </c>
      <c r="G98" s="132">
        <f t="shared" ref="G98:Q98" si="137">SUM(G99:G102)</f>
        <v>95875.15488394555</v>
      </c>
      <c r="H98" s="132">
        <f t="shared" si="137"/>
        <v>96226.39939317356</v>
      </c>
      <c r="I98" s="132">
        <f t="shared" si="137"/>
        <v>93734.718751431399</v>
      </c>
      <c r="J98" s="132">
        <f t="shared" si="137"/>
        <v>92100.436604265022</v>
      </c>
      <c r="K98" s="132">
        <f t="shared" si="137"/>
        <v>108973.12224582239</v>
      </c>
      <c r="L98" s="132">
        <f t="shared" si="137"/>
        <v>119132.75674919834</v>
      </c>
      <c r="M98" s="132">
        <f t="shared" si="137"/>
        <v>110128.79827496034</v>
      </c>
      <c r="N98" s="132">
        <f t="shared" si="137"/>
        <v>117454.73646863455</v>
      </c>
      <c r="O98" s="132">
        <f t="shared" si="137"/>
        <v>111150.45435964238</v>
      </c>
      <c r="P98" s="132">
        <f t="shared" si="137"/>
        <v>105228.33151985022</v>
      </c>
      <c r="Q98" s="132">
        <f t="shared" si="137"/>
        <v>1243865.6128710634</v>
      </c>
      <c r="R98" s="160">
        <f t="shared" si="85"/>
        <v>53021.018961715279</v>
      </c>
      <c r="S98" s="161"/>
      <c r="T98" s="249">
        <f t="shared" si="110"/>
        <v>571797.41325295519</v>
      </c>
    </row>
    <row r="99" spans="1:20" s="116" customFormat="1" ht="24" customHeight="1">
      <c r="A99" s="133"/>
      <c r="B99" s="134" t="s">
        <v>22</v>
      </c>
      <c r="C99" s="135"/>
      <c r="D99" s="142">
        <v>483377.30418272078</v>
      </c>
      <c r="E99" s="145">
        <f t="shared" ref="E99" si="138">E84*$C14</f>
        <v>39666.385779272998</v>
      </c>
      <c r="F99" s="145">
        <f>F84*$C14</f>
        <v>39601.724741393424</v>
      </c>
      <c r="G99" s="145">
        <f>G84*$C14</f>
        <v>39797.704250712763</v>
      </c>
      <c r="H99" s="145">
        <f t="shared" ref="H99" si="139">H84*$C14</f>
        <v>40387.084619995672</v>
      </c>
      <c r="I99" s="145">
        <f t="shared" ref="I99:P99" si="140">I84*$C14</f>
        <v>41386.842368067853</v>
      </c>
      <c r="J99" s="145">
        <f t="shared" si="140"/>
        <v>42252.782930106383</v>
      </c>
      <c r="K99" s="145">
        <f t="shared" si="140"/>
        <v>49489.051807315715</v>
      </c>
      <c r="L99" s="145">
        <f t="shared" si="140"/>
        <v>41723.116973849872</v>
      </c>
      <c r="M99" s="145">
        <f t="shared" si="140"/>
        <v>39977.601683715606</v>
      </c>
      <c r="N99" s="145">
        <f t="shared" si="140"/>
        <v>45012.067946885923</v>
      </c>
      <c r="O99" s="145">
        <f t="shared" si="140"/>
        <v>44534.929379205314</v>
      </c>
      <c r="P99" s="145">
        <f t="shared" si="140"/>
        <v>41699.714780037641</v>
      </c>
      <c r="Q99" s="163">
        <f>SUM(E99:P99)</f>
        <v>505529.00726055918</v>
      </c>
      <c r="R99" s="160">
        <f t="shared" si="85"/>
        <v>-22151.703077838407</v>
      </c>
      <c r="S99" s="161"/>
      <c r="T99" s="249">
        <f t="shared" si="110"/>
        <v>243092.52468954909</v>
      </c>
    </row>
    <row r="100" spans="1:20" s="116" customFormat="1" ht="24" customHeight="1">
      <c r="A100" s="133"/>
      <c r="B100" s="134" t="s">
        <v>23</v>
      </c>
      <c r="C100" s="135"/>
      <c r="D100" s="142">
        <v>439720.3857027255</v>
      </c>
      <c r="E100" s="145">
        <f t="shared" ref="E100" si="141">E85*$C15</f>
        <v>32730.455145502383</v>
      </c>
      <c r="F100" s="145">
        <f t="shared" ref="F100" si="142">F85*$C15</f>
        <v>32677.12545111982</v>
      </c>
      <c r="G100" s="145">
        <f>G85*$C15</f>
        <v>32838.861684941512</v>
      </c>
      <c r="H100" s="145">
        <f t="shared" ref="H100" si="143">H85*$C15</f>
        <v>31738.239957972804</v>
      </c>
      <c r="I100" s="145">
        <f t="shared" ref="I100" si="144">I85*$C15</f>
        <v>30075.298106568247</v>
      </c>
      <c r="J100" s="145">
        <f t="shared" ref="J100" si="145">J85*$C15</f>
        <v>29053.822945113647</v>
      </c>
      <c r="K100" s="145">
        <f t="shared" ref="K100" si="146">K85*$C15</f>
        <v>34029.695265026341</v>
      </c>
      <c r="L100" s="145">
        <f t="shared" ref="L100" si="147">L85*$C15</f>
        <v>40687.145710199577</v>
      </c>
      <c r="M100" s="145">
        <f>M85*$C15</f>
        <v>38167.088857082774</v>
      </c>
      <c r="N100" s="145">
        <f>N85*$C15</f>
        <v>39392.423863114622</v>
      </c>
      <c r="O100" s="145">
        <f t="shared" ref="O100" si="148">O85*$C15</f>
        <v>38974.938049679811</v>
      </c>
      <c r="P100" s="145">
        <f t="shared" ref="P100" si="149">P85*$C15</f>
        <v>36646.734980098292</v>
      </c>
      <c r="Q100" s="163">
        <f t="shared" ref="Q100" si="150">SUM(E100:P100)</f>
        <v>417011.83001641987</v>
      </c>
      <c r="R100" s="160">
        <f t="shared" si="85"/>
        <v>22708.555686305626</v>
      </c>
      <c r="S100" s="161"/>
      <c r="T100" s="249">
        <f t="shared" si="110"/>
        <v>189113.80329121841</v>
      </c>
    </row>
    <row r="101" spans="1:20" s="116" customFormat="1" ht="24" customHeight="1">
      <c r="A101" s="133"/>
      <c r="B101" s="134" t="s">
        <v>24</v>
      </c>
      <c r="C101" s="135"/>
      <c r="D101" s="142">
        <v>111855.66211967499</v>
      </c>
      <c r="E101" s="145">
        <f>E86*$C16</f>
        <v>10297.408964325186</v>
      </c>
      <c r="F101" s="145">
        <f>F86*$C16</f>
        <v>9856.6481961592253</v>
      </c>
      <c r="G101" s="145">
        <f t="shared" ref="G101" si="151">G86*$C16</f>
        <v>9522.245730404813</v>
      </c>
      <c r="H101" s="145">
        <f t="shared" ref="H101:L102" si="152">H86*$C16</f>
        <v>9875.7141835862531</v>
      </c>
      <c r="I101" s="145">
        <f t="shared" si="152"/>
        <v>9126.4395698486514</v>
      </c>
      <c r="J101" s="145">
        <f t="shared" si="152"/>
        <v>8520.5337047044759</v>
      </c>
      <c r="K101" s="145">
        <f t="shared" si="152"/>
        <v>10430.216651255601</v>
      </c>
      <c r="L101" s="145">
        <f t="shared" si="152"/>
        <v>10430.216651255601</v>
      </c>
      <c r="M101" s="145">
        <f>M86*$C16</f>
        <v>9084.3822446419763</v>
      </c>
      <c r="N101" s="145">
        <f>N86*$C16</f>
        <v>9387.1949861300418</v>
      </c>
      <c r="O101" s="145">
        <f>O86*$C16</f>
        <v>7850.7007052461504</v>
      </c>
      <c r="P101" s="145">
        <f>P86*$C16</f>
        <v>7473.9605321170175</v>
      </c>
      <c r="Q101" s="163">
        <f>SUM(E101:P101)</f>
        <v>111855.66211967499</v>
      </c>
      <c r="R101" s="160">
        <f t="shared" ref="R101:R131" si="153">D101-Q101</f>
        <v>0</v>
      </c>
      <c r="S101" s="161"/>
      <c r="T101" s="249">
        <f t="shared" si="110"/>
        <v>57198.990349028594</v>
      </c>
    </row>
    <row r="102" spans="1:20" s="116" customFormat="1" ht="24" customHeight="1">
      <c r="A102" s="133"/>
      <c r="B102" s="134" t="s">
        <v>25</v>
      </c>
      <c r="C102" s="135"/>
      <c r="D102" s="142">
        <v>261933.27982765745</v>
      </c>
      <c r="E102" s="145">
        <f>E87*$C17</f>
        <v>14832.923601249651</v>
      </c>
      <c r="F102" s="145">
        <f>F87*$C17</f>
        <v>14198.031741116927</v>
      </c>
      <c r="G102" s="145">
        <f>G87*$C17</f>
        <v>13716.343217886462</v>
      </c>
      <c r="H102" s="145">
        <f t="shared" si="152"/>
        <v>14225.360631618823</v>
      </c>
      <c r="I102" s="145">
        <f t="shared" si="152"/>
        <v>13146.138706946645</v>
      </c>
      <c r="J102" s="145">
        <f t="shared" si="152"/>
        <v>12273.297024340518</v>
      </c>
      <c r="K102" s="145">
        <f t="shared" si="152"/>
        <v>15024.158522224741</v>
      </c>
      <c r="L102" s="145">
        <f t="shared" si="152"/>
        <v>26292.277413893291</v>
      </c>
      <c r="M102" s="145">
        <f t="shared" ref="M102" si="154">M87*$C17</f>
        <v>22899.725489519966</v>
      </c>
      <c r="N102" s="145">
        <f t="shared" ref="N102" si="155">N87*$C17</f>
        <v>23663.04967250397</v>
      </c>
      <c r="O102" s="145">
        <f>O87*$C17</f>
        <v>19789.886225511087</v>
      </c>
      <c r="P102" s="145">
        <f>P87*$C17</f>
        <v>19407.921227597268</v>
      </c>
      <c r="Q102" s="163">
        <f>SUM(E102:P102)</f>
        <v>209469.11347440933</v>
      </c>
      <c r="R102" s="160">
        <f t="shared" si="153"/>
        <v>52464.166353248118</v>
      </c>
      <c r="S102" s="161"/>
      <c r="T102" s="249">
        <f t="shared" si="110"/>
        <v>82392.09492315902</v>
      </c>
    </row>
    <row r="103" spans="1:20" s="116" customFormat="1" ht="24" customHeight="1">
      <c r="A103" s="129">
        <v>21</v>
      </c>
      <c r="B103" s="139" t="s">
        <v>58</v>
      </c>
      <c r="C103" s="129" t="s">
        <v>30</v>
      </c>
      <c r="D103" s="140">
        <f>D104+D105+D106+D107</f>
        <v>130049.78602923334</v>
      </c>
      <c r="E103" s="132">
        <f>E18/E48</f>
        <v>9753.8349201931524</v>
      </c>
      <c r="F103" s="132">
        <f t="shared" ref="F103" si="156">F18/F48</f>
        <v>9634.8175423685407</v>
      </c>
      <c r="G103" s="132">
        <f t="shared" ref="G103:Q103" si="157">G18/G48</f>
        <v>9589.3024746707233</v>
      </c>
      <c r="H103" s="132">
        <f t="shared" si="157"/>
        <v>9630.6742735045609</v>
      </c>
      <c r="I103" s="132">
        <f t="shared" si="157"/>
        <v>9392.3925579001952</v>
      </c>
      <c r="J103" s="132">
        <f t="shared" si="157"/>
        <v>9236.66912826714</v>
      </c>
      <c r="K103" s="132">
        <f t="shared" si="157"/>
        <v>10928.12703315259</v>
      </c>
      <c r="L103" s="132">
        <f t="shared" si="157"/>
        <v>11945.550211445307</v>
      </c>
      <c r="M103" s="132">
        <f t="shared" si="157"/>
        <v>11042.96615053731</v>
      </c>
      <c r="N103" s="132">
        <f t="shared" si="157"/>
        <v>11789.958811650004</v>
      </c>
      <c r="O103" s="132">
        <f t="shared" si="157"/>
        <v>11152.526059043455</v>
      </c>
      <c r="P103" s="132">
        <f t="shared" si="157"/>
        <v>10560.691582710424</v>
      </c>
      <c r="Q103" s="132">
        <f t="shared" si="157"/>
        <v>124657.51074544342</v>
      </c>
      <c r="R103" s="160">
        <f t="shared" si="153"/>
        <v>5392.275283789917</v>
      </c>
      <c r="S103" s="161"/>
      <c r="T103" s="249">
        <f t="shared" si="110"/>
        <v>57237.690896904314</v>
      </c>
    </row>
    <row r="104" spans="1:20" s="116" customFormat="1" ht="24" customHeight="1">
      <c r="A104" s="133"/>
      <c r="B104" s="134" t="s">
        <v>22</v>
      </c>
      <c r="C104" s="135"/>
      <c r="D104" s="142">
        <v>48392.303335503078</v>
      </c>
      <c r="E104" s="215">
        <f>E19/E49</f>
        <v>3971.1168816648847</v>
      </c>
      <c r="F104" s="142">
        <f t="shared" ref="F104" si="158">F19/F49</f>
        <v>3964.6434776966389</v>
      </c>
      <c r="G104" s="142">
        <f t="shared" ref="G104:Q104" si="159">G19/G49</f>
        <v>3984.2635545609414</v>
      </c>
      <c r="H104" s="142">
        <f t="shared" si="159"/>
        <v>4043.2681320690899</v>
      </c>
      <c r="I104" s="142">
        <f t="shared" si="159"/>
        <v>4143.3567787392703</v>
      </c>
      <c r="J104" s="142">
        <f t="shared" si="159"/>
        <v>4230.0485989510953</v>
      </c>
      <c r="K104" s="142">
        <f t="shared" si="159"/>
        <v>4954.4924557334198</v>
      </c>
      <c r="L104" s="142">
        <f t="shared" si="159"/>
        <v>4177.0222044558222</v>
      </c>
      <c r="M104" s="142">
        <f t="shared" si="159"/>
        <v>4002.2736081398343</v>
      </c>
      <c r="N104" s="142">
        <f t="shared" si="159"/>
        <v>4506.2886217359246</v>
      </c>
      <c r="O104" s="142">
        <f t="shared" si="159"/>
        <v>4458.5208963990726</v>
      </c>
      <c r="P104" s="142">
        <f t="shared" si="159"/>
        <v>4174.6793429853342</v>
      </c>
      <c r="Q104" s="142">
        <f t="shared" si="159"/>
        <v>50609.974553131331</v>
      </c>
      <c r="R104" s="160">
        <f t="shared" si="153"/>
        <v>-2217.6712176282526</v>
      </c>
      <c r="S104" s="161"/>
      <c r="T104" s="249">
        <f t="shared" si="110"/>
        <v>24336.697423681922</v>
      </c>
    </row>
    <row r="105" spans="1:20" s="116" customFormat="1" ht="24" customHeight="1">
      <c r="A105" s="133"/>
      <c r="B105" s="134" t="s">
        <v>23</v>
      </c>
      <c r="C105" s="135"/>
      <c r="D105" s="142">
        <v>44203.875546258241</v>
      </c>
      <c r="E105" s="142">
        <f t="shared" ref="E105" si="160">E20/E50</f>
        <v>3290.3022303866933</v>
      </c>
      <c r="F105" s="142">
        <f>F20/F50</f>
        <v>3284.9411435459292</v>
      </c>
      <c r="G105" s="142">
        <f t="shared" ref="G105:Q105" si="161">G20/G50</f>
        <v>3301.2000402985755</v>
      </c>
      <c r="H105" s="142">
        <f t="shared" si="161"/>
        <v>3190.5575788064134</v>
      </c>
      <c r="I105" s="142">
        <f t="shared" si="161"/>
        <v>3023.3866287430537</v>
      </c>
      <c r="J105" s="142">
        <f t="shared" si="161"/>
        <v>2920.7005528214822</v>
      </c>
      <c r="K105" s="142">
        <f t="shared" si="161"/>
        <v>3420.9112501535624</v>
      </c>
      <c r="L105" s="142">
        <f t="shared" si="161"/>
        <v>4090.1663506727637</v>
      </c>
      <c r="M105" s="142">
        <f t="shared" si="161"/>
        <v>3836.8319974640863</v>
      </c>
      <c r="N105" s="142">
        <f t="shared" si="161"/>
        <v>3960.0115403514224</v>
      </c>
      <c r="O105" s="142">
        <f t="shared" si="161"/>
        <v>3918.0428449271521</v>
      </c>
      <c r="P105" s="142">
        <f t="shared" si="161"/>
        <v>3683.9950225371872</v>
      </c>
      <c r="Q105" s="142">
        <f t="shared" si="161"/>
        <v>41921.04718070833</v>
      </c>
      <c r="R105" s="160">
        <f t="shared" si="153"/>
        <v>2282.8283655499108</v>
      </c>
      <c r="S105" s="161"/>
      <c r="T105" s="249">
        <f t="shared" si="110"/>
        <v>19011.088174602148</v>
      </c>
    </row>
    <row r="106" spans="1:20" s="116" customFormat="1" ht="24" customHeight="1">
      <c r="A106" s="133"/>
      <c r="B106" s="134" t="s">
        <v>24</v>
      </c>
      <c r="C106" s="135"/>
      <c r="D106" s="142">
        <v>11593.335256617838</v>
      </c>
      <c r="E106" s="142">
        <f t="shared" ref="E106" si="162">E21/E51</f>
        <v>1067.280029777992</v>
      </c>
      <c r="F106" s="142">
        <f>F21/F51</f>
        <v>1021.5971626215195</v>
      </c>
      <c r="G106" s="142">
        <f t="shared" ref="G106:Q106" si="163">G21/G51</f>
        <v>986.93785416395815</v>
      </c>
      <c r="H106" s="142">
        <f t="shared" si="163"/>
        <v>1023.5732662898656</v>
      </c>
      <c r="I106" s="142">
        <f t="shared" si="163"/>
        <v>945.91432948039949</v>
      </c>
      <c r="J106" s="142">
        <f t="shared" si="163"/>
        <v>883.11491731428157</v>
      </c>
      <c r="K106" s="142">
        <f t="shared" si="163"/>
        <v>1081.0449479775996</v>
      </c>
      <c r="L106" s="142">
        <f t="shared" si="163"/>
        <v>1081.0449479775996</v>
      </c>
      <c r="M106" s="142">
        <f t="shared" si="163"/>
        <v>941.55527727081244</v>
      </c>
      <c r="N106" s="142">
        <f t="shared" si="163"/>
        <v>972.94045317983966</v>
      </c>
      <c r="O106" s="142">
        <f t="shared" si="163"/>
        <v>813.68974578959103</v>
      </c>
      <c r="P106" s="142">
        <f t="shared" si="163"/>
        <v>774.64232477437861</v>
      </c>
      <c r="Q106" s="142">
        <f t="shared" si="163"/>
        <v>11593.335256617836</v>
      </c>
      <c r="R106" s="160">
        <f t="shared" si="153"/>
        <v>0</v>
      </c>
      <c r="S106" s="161"/>
      <c r="T106" s="249">
        <f t="shared" si="110"/>
        <v>5928.4175596480163</v>
      </c>
    </row>
    <row r="107" spans="1:20" s="116" customFormat="1" ht="24" customHeight="1">
      <c r="A107" s="133"/>
      <c r="B107" s="134" t="s">
        <v>25</v>
      </c>
      <c r="C107" s="135"/>
      <c r="D107" s="142">
        <v>25860.271890854165</v>
      </c>
      <c r="E107" s="142">
        <f t="shared" ref="E107" si="164">E22/E52</f>
        <v>1464.4318488928463</v>
      </c>
      <c r="F107" s="142">
        <f>F22/F52</f>
        <v>1401.7499470927958</v>
      </c>
      <c r="G107" s="142">
        <f t="shared" ref="G107:Q107" si="165">G22/G52</f>
        <v>1354.1935763038684</v>
      </c>
      <c r="H107" s="142">
        <f t="shared" si="165"/>
        <v>1404.4480866316867</v>
      </c>
      <c r="I107" s="142">
        <f t="shared" si="165"/>
        <v>1297.8981575010453</v>
      </c>
      <c r="J107" s="142">
        <f t="shared" si="165"/>
        <v>1211.7238338537538</v>
      </c>
      <c r="K107" s="142">
        <f t="shared" si="165"/>
        <v>1483.3121800011947</v>
      </c>
      <c r="L107" s="142">
        <f t="shared" si="165"/>
        <v>2595.7963150020905</v>
      </c>
      <c r="M107" s="142">
        <f t="shared" si="165"/>
        <v>2260.8548550018209</v>
      </c>
      <c r="N107" s="142">
        <f t="shared" si="165"/>
        <v>2336.216683501882</v>
      </c>
      <c r="O107" s="142">
        <f t="shared" si="165"/>
        <v>1953.8251833349073</v>
      </c>
      <c r="P107" s="142">
        <f t="shared" si="165"/>
        <v>1916.1143635973767</v>
      </c>
      <c r="Q107" s="142">
        <f t="shared" si="165"/>
        <v>20680.565030715272</v>
      </c>
      <c r="R107" s="160">
        <f t="shared" si="153"/>
        <v>5179.7068601388928</v>
      </c>
      <c r="S107" s="161"/>
      <c r="T107" s="249">
        <f t="shared" si="110"/>
        <v>8134.4454502759963</v>
      </c>
    </row>
    <row r="108" spans="1:20" s="116" customFormat="1" ht="24" customHeight="1">
      <c r="A108" s="129">
        <v>22</v>
      </c>
      <c r="B108" s="139" t="s">
        <v>59</v>
      </c>
      <c r="C108" s="147" t="s">
        <v>43</v>
      </c>
      <c r="D108" s="171">
        <f>D33/D38</f>
        <v>1.7752415539392352</v>
      </c>
      <c r="E108" s="171">
        <f t="shared" ref="E108:P108" si="166">E33/E38</f>
        <v>1.7815082918623912</v>
      </c>
      <c r="F108" s="171">
        <f t="shared" si="166"/>
        <v>1.7827370525876542</v>
      </c>
      <c r="G108" s="171">
        <f t="shared" si="166"/>
        <v>1.7838661256383246</v>
      </c>
      <c r="H108" s="171">
        <f t="shared" si="166"/>
        <v>1.7865141517338141</v>
      </c>
      <c r="I108" s="171">
        <f t="shared" si="166"/>
        <v>1.7949854345536436</v>
      </c>
      <c r="J108" s="171">
        <f t="shared" si="166"/>
        <v>1.80163726095806</v>
      </c>
      <c r="K108" s="171">
        <f t="shared" si="166"/>
        <v>1.8002418553977653</v>
      </c>
      <c r="L108" s="171">
        <f t="shared" si="166"/>
        <v>1.7685983880195104</v>
      </c>
      <c r="M108" s="171">
        <f t="shared" si="166"/>
        <v>1.7721622243810029</v>
      </c>
      <c r="N108" s="171">
        <f t="shared" si="166"/>
        <v>1.7797975254939904</v>
      </c>
      <c r="O108" s="171">
        <f t="shared" si="166"/>
        <v>1.7838823334429297</v>
      </c>
      <c r="P108" s="171">
        <f t="shared" si="166"/>
        <v>1.7829804970686283</v>
      </c>
      <c r="Q108" s="171">
        <f>Q33/Q38</f>
        <v>1.7843358278882053</v>
      </c>
      <c r="R108" s="160">
        <f t="shared" si="153"/>
        <v>-9.0942739489701108E-3</v>
      </c>
      <c r="S108" s="161"/>
      <c r="T108" s="259">
        <f>T33/T38</f>
        <v>1.7883480418206188</v>
      </c>
    </row>
    <row r="109" spans="1:20" s="116" customFormat="1" ht="24" customHeight="1">
      <c r="A109" s="133"/>
      <c r="B109" s="134" t="s">
        <v>22</v>
      </c>
      <c r="C109" s="135"/>
      <c r="D109" s="171">
        <v>2.0961416883599799</v>
      </c>
      <c r="E109" s="171">
        <v>2.0961416883599799</v>
      </c>
      <c r="F109" s="171">
        <v>2.0961416883599799</v>
      </c>
      <c r="G109" s="171">
        <v>2.0961416883599799</v>
      </c>
      <c r="H109" s="171">
        <v>2.0961416883599799</v>
      </c>
      <c r="I109" s="171">
        <v>2.0961416883599799</v>
      </c>
      <c r="J109" s="171">
        <v>2.0961416883599799</v>
      </c>
      <c r="K109" s="171">
        <v>2.0961416883599799</v>
      </c>
      <c r="L109" s="171">
        <v>2.0961416883599799</v>
      </c>
      <c r="M109" s="171">
        <v>2.0961416883599799</v>
      </c>
      <c r="N109" s="171">
        <v>2.0961416883599799</v>
      </c>
      <c r="O109" s="171">
        <v>2.0961416883599799</v>
      </c>
      <c r="P109" s="171">
        <v>2.0961416883599799</v>
      </c>
      <c r="Q109" s="171">
        <v>2.0961416883599799</v>
      </c>
      <c r="R109" s="160">
        <f t="shared" si="153"/>
        <v>0</v>
      </c>
      <c r="S109" s="161"/>
      <c r="T109" s="259">
        <v>2.0961416883599799</v>
      </c>
    </row>
    <row r="110" spans="1:20" s="116" customFormat="1" ht="24" customHeight="1">
      <c r="A110" s="133"/>
      <c r="B110" s="134" t="s">
        <v>23</v>
      </c>
      <c r="C110" s="135"/>
      <c r="D110" s="171">
        <v>1.6283230039168499</v>
      </c>
      <c r="E110" s="171">
        <v>1.6283230039168499</v>
      </c>
      <c r="F110" s="171">
        <v>1.6283230039168499</v>
      </c>
      <c r="G110" s="171">
        <v>1.6283230039168499</v>
      </c>
      <c r="H110" s="171">
        <v>1.6283230039168499</v>
      </c>
      <c r="I110" s="171">
        <v>1.6283230039168499</v>
      </c>
      <c r="J110" s="171">
        <v>1.6283230039168499</v>
      </c>
      <c r="K110" s="171">
        <v>1.6283230039168499</v>
      </c>
      <c r="L110" s="171">
        <v>1.6283230039168499</v>
      </c>
      <c r="M110" s="171">
        <v>1.6283230039168499</v>
      </c>
      <c r="N110" s="171">
        <v>1.6283230039168499</v>
      </c>
      <c r="O110" s="171">
        <v>1.6283230039168499</v>
      </c>
      <c r="P110" s="171">
        <v>1.6283230039168499</v>
      </c>
      <c r="Q110" s="171">
        <v>1.6283230039168499</v>
      </c>
      <c r="R110" s="160">
        <f t="shared" si="153"/>
        <v>0</v>
      </c>
      <c r="S110" s="161"/>
      <c r="T110" s="259">
        <v>1.6283230039168499</v>
      </c>
    </row>
    <row r="111" spans="1:20" s="116" customFormat="1" ht="24" customHeight="1">
      <c r="A111" s="133"/>
      <c r="B111" s="134" t="s">
        <v>24</v>
      </c>
      <c r="C111" s="135"/>
      <c r="D111" s="171">
        <v>1.5903080949601101</v>
      </c>
      <c r="E111" s="171">
        <v>1.5903080949601101</v>
      </c>
      <c r="F111" s="171">
        <v>1.5903080949601101</v>
      </c>
      <c r="G111" s="171">
        <v>1.5903080949601101</v>
      </c>
      <c r="H111" s="171">
        <v>1.5903080949601101</v>
      </c>
      <c r="I111" s="171">
        <v>1.5903080949601101</v>
      </c>
      <c r="J111" s="171">
        <v>1.5903080949601101</v>
      </c>
      <c r="K111" s="171">
        <v>1.5903080949601101</v>
      </c>
      <c r="L111" s="171">
        <v>1.5903080949601101</v>
      </c>
      <c r="M111" s="171">
        <v>1.5903080949601101</v>
      </c>
      <c r="N111" s="171">
        <v>1.5903080949601101</v>
      </c>
      <c r="O111" s="171">
        <v>1.5903080949601101</v>
      </c>
      <c r="P111" s="171">
        <v>1.5903080949601101</v>
      </c>
      <c r="Q111" s="171">
        <v>1.5903080949601101</v>
      </c>
      <c r="R111" s="160">
        <f t="shared" si="153"/>
        <v>0</v>
      </c>
      <c r="S111" s="161"/>
      <c r="T111" s="259">
        <v>1.5903080949601101</v>
      </c>
    </row>
    <row r="112" spans="1:20" s="116" customFormat="1" ht="24" customHeight="1">
      <c r="A112" s="133"/>
      <c r="B112" s="134" t="s">
        <v>25</v>
      </c>
      <c r="C112" s="135"/>
      <c r="D112" s="171">
        <v>1.74090864431487</v>
      </c>
      <c r="E112" s="171">
        <v>1.74090864431487</v>
      </c>
      <c r="F112" s="171">
        <v>1.74090864431487</v>
      </c>
      <c r="G112" s="171">
        <v>1.74090864431487</v>
      </c>
      <c r="H112" s="171">
        <v>1.74090864431487</v>
      </c>
      <c r="I112" s="171">
        <v>1.74090864431487</v>
      </c>
      <c r="J112" s="171">
        <v>1.74090864431487</v>
      </c>
      <c r="K112" s="171">
        <v>1.74090864431487</v>
      </c>
      <c r="L112" s="171">
        <v>1.74090864431487</v>
      </c>
      <c r="M112" s="171">
        <v>1.74090864431487</v>
      </c>
      <c r="N112" s="171">
        <v>1.74090864431487</v>
      </c>
      <c r="O112" s="171">
        <v>1.74090864431487</v>
      </c>
      <c r="P112" s="171">
        <v>1.74090864431487</v>
      </c>
      <c r="Q112" s="171">
        <v>1.74090864431487</v>
      </c>
      <c r="R112" s="160">
        <f t="shared" si="153"/>
        <v>0</v>
      </c>
      <c r="S112" s="161"/>
      <c r="T112" s="259">
        <v>1.74090864431487</v>
      </c>
    </row>
    <row r="113" spans="1:31" s="116" customFormat="1" ht="24" customHeight="1">
      <c r="A113" s="129">
        <v>23</v>
      </c>
      <c r="B113" s="139" t="s">
        <v>60</v>
      </c>
      <c r="C113" s="147" t="s">
        <v>61</v>
      </c>
      <c r="D113" s="132">
        <f>D83/D38*10000</f>
        <v>1102.4220872540241</v>
      </c>
      <c r="E113" s="132">
        <f>E83/E38*10000</f>
        <v>1111.0071068241805</v>
      </c>
      <c r="F113" s="132">
        <f t="shared" ref="F113:P113" si="167">F83/F38*10000</f>
        <v>1111.5829835704112</v>
      </c>
      <c r="G113" s="132">
        <f t="shared" si="167"/>
        <v>1112.1121386898828</v>
      </c>
      <c r="H113" s="132">
        <f t="shared" si="167"/>
        <v>1114.5099250429735</v>
      </c>
      <c r="I113" s="132">
        <f t="shared" si="167"/>
        <v>1120.3996077129339</v>
      </c>
      <c r="J113" s="132">
        <f t="shared" si="167"/>
        <v>1124.9354696641653</v>
      </c>
      <c r="K113" s="132">
        <f>K83/K38*10000</f>
        <v>1124.2326331423053</v>
      </c>
      <c r="L113" s="132">
        <f t="shared" si="167"/>
        <v>1097.1481871209785</v>
      </c>
      <c r="M113" s="132">
        <f t="shared" si="167"/>
        <v>1099.4225335256692</v>
      </c>
      <c r="N113" s="132">
        <f t="shared" si="167"/>
        <v>1105.005896098523</v>
      </c>
      <c r="O113" s="132">
        <f t="shared" si="167"/>
        <v>1107.3020018499597</v>
      </c>
      <c r="P113" s="132">
        <f t="shared" si="167"/>
        <v>1106.5344777023151</v>
      </c>
      <c r="Q113" s="132">
        <f>Q83/Q38*10000</f>
        <v>1110.5932688483972</v>
      </c>
      <c r="R113" s="160">
        <f>D113-Q113</f>
        <v>-8.1711815943731381</v>
      </c>
      <c r="S113" s="161"/>
      <c r="T113" s="260">
        <f>T83/T38*10000</f>
        <v>1115.6220716414182</v>
      </c>
    </row>
    <row r="114" spans="1:31" s="116" customFormat="1" ht="24" customHeight="1">
      <c r="A114" s="133"/>
      <c r="B114" s="134" t="s">
        <v>22</v>
      </c>
      <c r="C114" s="135"/>
      <c r="D114" s="142">
        <v>1336.1201190033501</v>
      </c>
      <c r="E114" s="142">
        <f t="shared" ref="E114:P114" si="168">0.133612011900335*10000</f>
        <v>1336.1201190033501</v>
      </c>
      <c r="F114" s="142">
        <f t="shared" si="168"/>
        <v>1336.1201190033501</v>
      </c>
      <c r="G114" s="142">
        <f t="shared" si="168"/>
        <v>1336.1201190033501</v>
      </c>
      <c r="H114" s="142">
        <f t="shared" si="168"/>
        <v>1336.1201190033501</v>
      </c>
      <c r="I114" s="142">
        <f t="shared" si="168"/>
        <v>1336.1201190033501</v>
      </c>
      <c r="J114" s="142">
        <f t="shared" si="168"/>
        <v>1336.1201190033501</v>
      </c>
      <c r="K114" s="142">
        <f t="shared" si="168"/>
        <v>1336.1201190033501</v>
      </c>
      <c r="L114" s="142">
        <f t="shared" si="168"/>
        <v>1336.1201190033501</v>
      </c>
      <c r="M114" s="142">
        <f t="shared" si="168"/>
        <v>1336.1201190033501</v>
      </c>
      <c r="N114" s="142">
        <f t="shared" si="168"/>
        <v>1336.1201190033501</v>
      </c>
      <c r="O114" s="142">
        <f t="shared" si="168"/>
        <v>1336.1201190033501</v>
      </c>
      <c r="P114" s="142">
        <f t="shared" si="168"/>
        <v>1336.1201190033501</v>
      </c>
      <c r="Q114" s="142">
        <f>0.133612011900335*10000</f>
        <v>1336.1201190033501</v>
      </c>
      <c r="R114" s="160">
        <f t="shared" si="153"/>
        <v>0</v>
      </c>
      <c r="S114" s="161"/>
      <c r="T114" s="252">
        <f>0.133612011900335*10000</f>
        <v>1336.1201190033501</v>
      </c>
    </row>
    <row r="115" spans="1:31" s="116" customFormat="1" ht="24" customHeight="1">
      <c r="A115" s="133"/>
      <c r="B115" s="134" t="s">
        <v>23</v>
      </c>
      <c r="C115" s="135"/>
      <c r="D115" s="142">
        <v>984.37541428141003</v>
      </c>
      <c r="E115" s="142">
        <f t="shared" ref="E115:Q115" si="169">0.098437541428141*10000</f>
        <v>984.37541428141003</v>
      </c>
      <c r="F115" s="142">
        <f t="shared" si="169"/>
        <v>984.37541428141003</v>
      </c>
      <c r="G115" s="142">
        <f t="shared" si="169"/>
        <v>984.37541428141003</v>
      </c>
      <c r="H115" s="142">
        <f t="shared" si="169"/>
        <v>984.37541428141003</v>
      </c>
      <c r="I115" s="142">
        <f t="shared" si="169"/>
        <v>984.37541428141003</v>
      </c>
      <c r="J115" s="142">
        <f t="shared" si="169"/>
        <v>984.37541428141003</v>
      </c>
      <c r="K115" s="142">
        <f t="shared" si="169"/>
        <v>984.37541428141003</v>
      </c>
      <c r="L115" s="142">
        <f t="shared" si="169"/>
        <v>984.37541428141003</v>
      </c>
      <c r="M115" s="142">
        <f t="shared" si="169"/>
        <v>984.37541428141003</v>
      </c>
      <c r="N115" s="142">
        <f t="shared" si="169"/>
        <v>984.37541428141003</v>
      </c>
      <c r="O115" s="142">
        <f t="shared" si="169"/>
        <v>984.37541428141003</v>
      </c>
      <c r="P115" s="142">
        <f t="shared" si="169"/>
        <v>984.37541428141003</v>
      </c>
      <c r="Q115" s="142">
        <f t="shared" si="169"/>
        <v>984.37541428141003</v>
      </c>
      <c r="R115" s="160">
        <f t="shared" si="153"/>
        <v>0</v>
      </c>
      <c r="S115" s="161"/>
      <c r="T115" s="252">
        <f t="shared" ref="T115" si="170">0.098437541428141*10000</f>
        <v>984.37541428141003</v>
      </c>
    </row>
    <row r="116" spans="1:31" s="116" customFormat="1" ht="24" customHeight="1">
      <c r="A116" s="133"/>
      <c r="B116" s="134" t="s">
        <v>24</v>
      </c>
      <c r="C116" s="135"/>
      <c r="D116" s="142">
        <v>1077.03872348706</v>
      </c>
      <c r="E116" s="142">
        <f t="shared" ref="E116:Q116" si="171">0.107703872348706*10000</f>
        <v>1077.03872348706</v>
      </c>
      <c r="F116" s="142">
        <f t="shared" si="171"/>
        <v>1077.03872348706</v>
      </c>
      <c r="G116" s="142">
        <f t="shared" si="171"/>
        <v>1077.03872348706</v>
      </c>
      <c r="H116" s="142">
        <f t="shared" si="171"/>
        <v>1077.03872348706</v>
      </c>
      <c r="I116" s="142">
        <f t="shared" si="171"/>
        <v>1077.03872348706</v>
      </c>
      <c r="J116" s="142">
        <f t="shared" si="171"/>
        <v>1077.03872348706</v>
      </c>
      <c r="K116" s="142">
        <f t="shared" si="171"/>
        <v>1077.03872348706</v>
      </c>
      <c r="L116" s="142">
        <f t="shared" si="171"/>
        <v>1077.03872348706</v>
      </c>
      <c r="M116" s="142">
        <f t="shared" si="171"/>
        <v>1077.03872348706</v>
      </c>
      <c r="N116" s="142">
        <f t="shared" si="171"/>
        <v>1077.03872348706</v>
      </c>
      <c r="O116" s="142">
        <f t="shared" si="171"/>
        <v>1077.03872348706</v>
      </c>
      <c r="P116" s="142">
        <f t="shared" si="171"/>
        <v>1077.03872348706</v>
      </c>
      <c r="Q116" s="142">
        <f t="shared" si="171"/>
        <v>1077.03872348706</v>
      </c>
      <c r="R116" s="160">
        <f t="shared" si="153"/>
        <v>0</v>
      </c>
      <c r="S116" s="161"/>
      <c r="T116" s="252">
        <f t="shared" ref="T116" si="172">0.107703872348706*10000</f>
        <v>1077.03872348706</v>
      </c>
    </row>
    <row r="117" spans="1:31" s="116" customFormat="1" ht="24" customHeight="1">
      <c r="A117" s="133"/>
      <c r="B117" s="134" t="s">
        <v>25</v>
      </c>
      <c r="C117" s="135"/>
      <c r="D117" s="142">
        <v>1046.2944606414001</v>
      </c>
      <c r="E117" s="142">
        <f t="shared" ref="E117:Q117" si="173">0.10462944606414*10000</f>
        <v>1046.2944606414001</v>
      </c>
      <c r="F117" s="142">
        <f t="shared" si="173"/>
        <v>1046.2944606414001</v>
      </c>
      <c r="G117" s="142">
        <f t="shared" si="173"/>
        <v>1046.2944606414001</v>
      </c>
      <c r="H117" s="142">
        <f t="shared" si="173"/>
        <v>1046.2944606414001</v>
      </c>
      <c r="I117" s="142">
        <f t="shared" si="173"/>
        <v>1046.2944606414001</v>
      </c>
      <c r="J117" s="142">
        <f t="shared" si="173"/>
        <v>1046.2944606414001</v>
      </c>
      <c r="K117" s="142">
        <f t="shared" si="173"/>
        <v>1046.2944606414001</v>
      </c>
      <c r="L117" s="142">
        <f t="shared" si="173"/>
        <v>1046.2944606414001</v>
      </c>
      <c r="M117" s="142">
        <f t="shared" si="173"/>
        <v>1046.2944606414001</v>
      </c>
      <c r="N117" s="142">
        <f t="shared" si="173"/>
        <v>1046.2944606414001</v>
      </c>
      <c r="O117" s="142">
        <f t="shared" si="173"/>
        <v>1046.2944606414001</v>
      </c>
      <c r="P117" s="142">
        <f t="shared" si="173"/>
        <v>1046.2944606414001</v>
      </c>
      <c r="Q117" s="142">
        <f t="shared" si="173"/>
        <v>1046.2944606414001</v>
      </c>
      <c r="R117" s="160">
        <f t="shared" si="153"/>
        <v>0</v>
      </c>
      <c r="S117" s="161"/>
      <c r="T117" s="252">
        <f t="shared" ref="T117" si="174">0.10462944606414*10000</f>
        <v>1046.2944606414001</v>
      </c>
    </row>
    <row r="118" spans="1:31" s="116" customFormat="1" ht="24" customHeight="1">
      <c r="A118" s="129">
        <v>24</v>
      </c>
      <c r="B118" s="139" t="s">
        <v>62</v>
      </c>
      <c r="C118" s="129" t="s">
        <v>63</v>
      </c>
      <c r="D118" s="140">
        <f>D119+D120+D121+D122</f>
        <v>516881.71768884035</v>
      </c>
      <c r="E118" s="132">
        <f>SUM(E119:E122)</f>
        <v>32505.420572234103</v>
      </c>
      <c r="F118" s="132">
        <f t="shared" ref="F118" si="175">SUM(F119:F122)</f>
        <v>43914.36056586662</v>
      </c>
      <c r="G118" s="132">
        <f t="shared" ref="G118:P118" si="176">SUM(G119:G122)</f>
        <v>34081.997985720664</v>
      </c>
      <c r="H118" s="132">
        <f t="shared" si="176"/>
        <v>37269.790204966703</v>
      </c>
      <c r="I118" s="132">
        <f t="shared" si="176"/>
        <v>32799.652975937519</v>
      </c>
      <c r="J118" s="132">
        <f t="shared" si="176"/>
        <v>34946.047604031817</v>
      </c>
      <c r="K118" s="132">
        <f t="shared" si="176"/>
        <v>51693.676814659295</v>
      </c>
      <c r="L118" s="132">
        <f t="shared" si="176"/>
        <v>61402.975407337501</v>
      </c>
      <c r="M118" s="132">
        <f t="shared" si="176"/>
        <v>41217.351863179298</v>
      </c>
      <c r="N118" s="132">
        <f t="shared" si="176"/>
        <v>47701.924282342945</v>
      </c>
      <c r="O118" s="132">
        <f t="shared" si="176"/>
        <v>37762.208725715354</v>
      </c>
      <c r="P118" s="132">
        <f t="shared" si="176"/>
        <v>37781.356306243222</v>
      </c>
      <c r="Q118" s="132">
        <f>SUM(Q119:Q122)</f>
        <v>493076.76330823509</v>
      </c>
      <c r="R118" s="160">
        <f t="shared" si="153"/>
        <v>23804.954380605253</v>
      </c>
      <c r="S118" s="161"/>
      <c r="T118" s="253">
        <f>E118+F118+G118+H118+I118+J118</f>
        <v>215517.26990875741</v>
      </c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</row>
    <row r="119" spans="1:31" s="116" customFormat="1" ht="24" customHeight="1">
      <c r="A119" s="133"/>
      <c r="B119" s="134" t="s">
        <v>22</v>
      </c>
      <c r="C119" s="135"/>
      <c r="D119" s="142">
        <v>169780.50790724458</v>
      </c>
      <c r="E119" s="145">
        <f>E59*E34</f>
        <v>11729.225305092656</v>
      </c>
      <c r="F119" s="145">
        <f>F59*F34</f>
        <v>16054.556386043796</v>
      </c>
      <c r="G119" s="145">
        <f t="shared" ref="G119" si="177">G59*G34</f>
        <v>12549.927303283459</v>
      </c>
      <c r="H119" s="145">
        <f t="shared" ref="H119:P119" si="178">H59*H34</f>
        <v>13964.58121992307</v>
      </c>
      <c r="I119" s="145">
        <f t="shared" si="178"/>
        <v>12935.320120847757</v>
      </c>
      <c r="J119" s="145">
        <f t="shared" si="178"/>
        <v>14355.100927602884</v>
      </c>
      <c r="K119" s="145">
        <f t="shared" si="178"/>
        <v>21003.930569597422</v>
      </c>
      <c r="L119" s="145">
        <f t="shared" si="178"/>
        <v>18884.545358075684</v>
      </c>
      <c r="M119" s="145">
        <f t="shared" si="178"/>
        <v>13161.722368121014</v>
      </c>
      <c r="N119" s="145">
        <f t="shared" si="178"/>
        <v>16206.50498504031</v>
      </c>
      <c r="O119" s="145">
        <f t="shared" si="178"/>
        <v>13355.201765015354</v>
      </c>
      <c r="P119" s="145">
        <f t="shared" si="178"/>
        <v>13681.462450948817</v>
      </c>
      <c r="Q119" s="163">
        <f>SUM(E119:P119)</f>
        <v>177882.0787595922</v>
      </c>
      <c r="R119" s="160">
        <f t="shared" si="153"/>
        <v>-8101.5708523476205</v>
      </c>
      <c r="S119" s="161"/>
      <c r="T119" s="253">
        <f t="shared" ref="T119:T127" si="179">E119+F119+G119+H119+I119+J119</f>
        <v>81588.711262793615</v>
      </c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</row>
    <row r="120" spans="1:31" s="116" customFormat="1" ht="24" customHeight="1">
      <c r="A120" s="133"/>
      <c r="B120" s="134" t="s">
        <v>23</v>
      </c>
      <c r="C120" s="135"/>
      <c r="D120" s="142">
        <v>195802.3951533642</v>
      </c>
      <c r="E120" s="145">
        <f>E60*E35</f>
        <v>12269.991940285361</v>
      </c>
      <c r="F120" s="145">
        <f>F60*F35</f>
        <v>16820.690104327427</v>
      </c>
      <c r="G120" s="145">
        <f t="shared" ref="G120" si="180">G60*G35</f>
        <v>13132.740309679421</v>
      </c>
      <c r="H120" s="145">
        <f t="shared" ref="H120:P120" si="181">H60*H35</f>
        <v>13900.727862164069</v>
      </c>
      <c r="I120" s="145">
        <f t="shared" si="181"/>
        <v>11892.64537383119</v>
      </c>
      <c r="J120" s="145">
        <f t="shared" si="181"/>
        <v>12495.23196191896</v>
      </c>
      <c r="K120" s="145">
        <f t="shared" si="181"/>
        <v>18317.025014892421</v>
      </c>
      <c r="L120" s="145">
        <f t="shared" si="181"/>
        <v>23363.379391107763</v>
      </c>
      <c r="M120" s="145">
        <f t="shared" si="181"/>
        <v>15918.787516008791</v>
      </c>
      <c r="N120" s="145">
        <f t="shared" si="181"/>
        <v>17996.482148562682</v>
      </c>
      <c r="O120" s="145">
        <f t="shared" si="181"/>
        <v>14819.880391502538</v>
      </c>
      <c r="P120" s="145">
        <f t="shared" si="181"/>
        <v>14582.880373118815</v>
      </c>
      <c r="Q120" s="163">
        <f t="shared" ref="Q120" si="182">SUM(E120:P120)</f>
        <v>185510.46238739949</v>
      </c>
      <c r="R120" s="160">
        <f t="shared" si="153"/>
        <v>10291.93276596471</v>
      </c>
      <c r="S120" s="161"/>
      <c r="T120" s="253">
        <f t="shared" si="179"/>
        <v>80512.027552206448</v>
      </c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</row>
    <row r="121" spans="1:31" s="116" customFormat="1" ht="24" customHeight="1">
      <c r="A121" s="133"/>
      <c r="B121" s="134" t="s">
        <v>24</v>
      </c>
      <c r="C121" s="135"/>
      <c r="D121" s="142">
        <v>43734.815400121217</v>
      </c>
      <c r="E121" s="145">
        <f t="shared" ref="E121" si="183">E61*E36</f>
        <v>3382.0449064813356</v>
      </c>
      <c r="F121" s="145">
        <f>F61*F36</f>
        <v>4448.5656674514476</v>
      </c>
      <c r="G121" s="145">
        <f>G61*G36</f>
        <v>3339.434578178415</v>
      </c>
      <c r="H121" s="145">
        <f t="shared" ref="H121:P121" si="184">H61*H36</f>
        <v>3796.6760541711074</v>
      </c>
      <c r="I121" s="145">
        <f t="shared" si="184"/>
        <v>3168.9452504728479</v>
      </c>
      <c r="J121" s="145">
        <f t="shared" si="184"/>
        <v>3218.7056431429514</v>
      </c>
      <c r="K121" s="145">
        <f t="shared" si="184"/>
        <v>4928.0372700913504</v>
      </c>
      <c r="L121" s="145">
        <f t="shared" si="184"/>
        <v>5257.4439584989195</v>
      </c>
      <c r="M121" s="145">
        <f t="shared" si="184"/>
        <v>3329.1953867551942</v>
      </c>
      <c r="N121" s="145">
        <f t="shared" si="184"/>
        <v>3767.6730623035505</v>
      </c>
      <c r="O121" s="145">
        <f t="shared" si="184"/>
        <v>2628.5933021006881</v>
      </c>
      <c r="P121" s="145">
        <f t="shared" si="184"/>
        <v>2469.5003204734066</v>
      </c>
      <c r="Q121" s="163">
        <f>SUM(E121:P121)</f>
        <v>43734.81540012121</v>
      </c>
      <c r="R121" s="160">
        <f t="shared" si="153"/>
        <v>0</v>
      </c>
      <c r="S121" s="161"/>
      <c r="T121" s="253">
        <f t="shared" si="179"/>
        <v>21354.372099898104</v>
      </c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</row>
    <row r="122" spans="1:31" s="116" customFormat="1" ht="24" customHeight="1">
      <c r="A122" s="133"/>
      <c r="B122" s="134" t="s">
        <v>25</v>
      </c>
      <c r="C122" s="135"/>
      <c r="D122" s="142">
        <v>107563.99922811039</v>
      </c>
      <c r="E122" s="145">
        <f t="shared" ref="E122" si="185">E62*E37</f>
        <v>5124.1584203747507</v>
      </c>
      <c r="F122" s="145">
        <f>F62*F37</f>
        <v>6590.5484080439492</v>
      </c>
      <c r="G122" s="145">
        <f>G62*G37</f>
        <v>5059.8957945793736</v>
      </c>
      <c r="H122" s="145">
        <f t="shared" ref="H122:P122" si="186">H62*H37</f>
        <v>5607.8050687084578</v>
      </c>
      <c r="I122" s="145">
        <f t="shared" si="186"/>
        <v>4802.7422307857278</v>
      </c>
      <c r="J122" s="145">
        <f t="shared" si="186"/>
        <v>4877.0090713670243</v>
      </c>
      <c r="K122" s="145">
        <f t="shared" si="186"/>
        <v>7444.6839600780995</v>
      </c>
      <c r="L122" s="145">
        <f t="shared" si="186"/>
        <v>13897.606699655131</v>
      </c>
      <c r="M122" s="145">
        <f t="shared" si="186"/>
        <v>8807.6465922942953</v>
      </c>
      <c r="N122" s="145">
        <f t="shared" si="186"/>
        <v>9731.2640864364093</v>
      </c>
      <c r="O122" s="145">
        <f t="shared" si="186"/>
        <v>6958.53326709677</v>
      </c>
      <c r="P122" s="145">
        <f t="shared" si="186"/>
        <v>7047.5131617021907</v>
      </c>
      <c r="Q122" s="163">
        <f>SUM(E122:P122)</f>
        <v>85949.406761122198</v>
      </c>
      <c r="R122" s="160">
        <f t="shared" si="153"/>
        <v>21614.592466988193</v>
      </c>
      <c r="S122" s="161"/>
      <c r="T122" s="253">
        <f t="shared" si="179"/>
        <v>32062.158993859284</v>
      </c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</row>
    <row r="123" spans="1:31" s="116" customFormat="1" ht="24" customHeight="1">
      <c r="A123" s="129">
        <v>25</v>
      </c>
      <c r="B123" s="139" t="s">
        <v>64</v>
      </c>
      <c r="C123" s="129" t="s">
        <v>63</v>
      </c>
      <c r="D123" s="140">
        <f>D124+D125+D126+D127</f>
        <v>516881.71768884035</v>
      </c>
      <c r="E123" s="132">
        <f>SUM(E124:E127)</f>
        <v>32505.420572234103</v>
      </c>
      <c r="F123" s="132">
        <f t="shared" ref="F123" si="187">SUM(F124:F127)</f>
        <v>43914.36056586662</v>
      </c>
      <c r="G123" s="132">
        <f t="shared" ref="G123:Q123" si="188">SUM(G124:G127)</f>
        <v>34081.997985720664</v>
      </c>
      <c r="H123" s="132">
        <f t="shared" si="188"/>
        <v>37269.790204966703</v>
      </c>
      <c r="I123" s="132">
        <f t="shared" si="188"/>
        <v>32799.652975937519</v>
      </c>
      <c r="J123" s="132">
        <f t="shared" si="188"/>
        <v>34946.047604031817</v>
      </c>
      <c r="K123" s="132">
        <f t="shared" si="188"/>
        <v>51693.676814659295</v>
      </c>
      <c r="L123" s="132">
        <f t="shared" si="188"/>
        <v>61402.975407337501</v>
      </c>
      <c r="M123" s="132">
        <f t="shared" si="188"/>
        <v>41217.351863179298</v>
      </c>
      <c r="N123" s="132">
        <f t="shared" si="188"/>
        <v>47701.924282342945</v>
      </c>
      <c r="O123" s="132">
        <f t="shared" si="188"/>
        <v>37762.208725715354</v>
      </c>
      <c r="P123" s="132">
        <f t="shared" si="188"/>
        <v>37781.355720831896</v>
      </c>
      <c r="Q123" s="132">
        <f t="shared" si="188"/>
        <v>493076.76272282377</v>
      </c>
      <c r="R123" s="160">
        <f t="shared" si="153"/>
        <v>23804.954966016579</v>
      </c>
      <c r="S123" s="161"/>
      <c r="T123" s="253">
        <f t="shared" si="179"/>
        <v>215517.26990875741</v>
      </c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</row>
    <row r="124" spans="1:31" s="116" customFormat="1" ht="24" customHeight="1">
      <c r="A124" s="133"/>
      <c r="B124" s="134" t="s">
        <v>22</v>
      </c>
      <c r="C124" s="135"/>
      <c r="D124" s="142">
        <f>D119-D129</f>
        <v>169780.50790724458</v>
      </c>
      <c r="E124" s="145">
        <f>E79*E34</f>
        <v>11729.225305092656</v>
      </c>
      <c r="F124" s="145">
        <f t="shared" ref="F124" si="189">F79*F34</f>
        <v>16054.556386043796</v>
      </c>
      <c r="G124" s="145">
        <f t="shared" ref="G124:P124" si="190">G79*G34</f>
        <v>12549.927303283459</v>
      </c>
      <c r="H124" s="145">
        <f t="shared" si="190"/>
        <v>13964.58121992307</v>
      </c>
      <c r="I124" s="145">
        <f t="shared" si="190"/>
        <v>12935.320120847757</v>
      </c>
      <c r="J124" s="145">
        <f t="shared" si="190"/>
        <v>14355.100927602884</v>
      </c>
      <c r="K124" s="145">
        <f t="shared" si="190"/>
        <v>21003.930569597422</v>
      </c>
      <c r="L124" s="145">
        <f t="shared" si="190"/>
        <v>18884.545358075684</v>
      </c>
      <c r="M124" s="145">
        <f t="shared" si="190"/>
        <v>13161.722368121014</v>
      </c>
      <c r="N124" s="145">
        <f t="shared" si="190"/>
        <v>16206.50498504031</v>
      </c>
      <c r="O124" s="145">
        <f t="shared" si="190"/>
        <v>13355.201765015354</v>
      </c>
      <c r="P124" s="145">
        <f t="shared" si="190"/>
        <v>13681.462450948817</v>
      </c>
      <c r="Q124" s="163">
        <f>SUM(E124:P124)</f>
        <v>177882.0787595922</v>
      </c>
      <c r="R124" s="160">
        <f t="shared" si="153"/>
        <v>-8101.5708523476205</v>
      </c>
      <c r="S124" s="161"/>
      <c r="T124" s="253">
        <f t="shared" si="179"/>
        <v>81588.711262793615</v>
      </c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</row>
    <row r="125" spans="1:31" s="116" customFormat="1" ht="24" customHeight="1">
      <c r="A125" s="133"/>
      <c r="B125" s="134" t="s">
        <v>23</v>
      </c>
      <c r="C125" s="135"/>
      <c r="D125" s="142">
        <f>D120-D130</f>
        <v>195802.3951533642</v>
      </c>
      <c r="E125" s="145">
        <f t="shared" ref="E125" si="191">E80*E35</f>
        <v>12269.991940285361</v>
      </c>
      <c r="F125" s="145">
        <f>F80*F35</f>
        <v>16820.690104327427</v>
      </c>
      <c r="G125" s="145">
        <f t="shared" ref="G125" si="192">G80*G35</f>
        <v>13132.740309679421</v>
      </c>
      <c r="H125" s="145">
        <f t="shared" ref="H125:O127" si="193">H80*H35</f>
        <v>13900.727862164069</v>
      </c>
      <c r="I125" s="145">
        <f t="shared" si="193"/>
        <v>11892.64537383119</v>
      </c>
      <c r="J125" s="145">
        <f t="shared" si="193"/>
        <v>12495.23196191896</v>
      </c>
      <c r="K125" s="145">
        <f t="shared" si="193"/>
        <v>18317.025014892421</v>
      </c>
      <c r="L125" s="145">
        <f t="shared" si="193"/>
        <v>23363.379391107763</v>
      </c>
      <c r="M125" s="145">
        <f t="shared" si="193"/>
        <v>15918.787516008791</v>
      </c>
      <c r="N125" s="145">
        <f t="shared" si="193"/>
        <v>17996.482148562682</v>
      </c>
      <c r="O125" s="145">
        <f t="shared" si="193"/>
        <v>14819.880391502538</v>
      </c>
      <c r="P125" s="145">
        <f>P80*P35-0.000585411326028407</f>
        <v>14582.879787707489</v>
      </c>
      <c r="Q125" s="163">
        <f t="shared" ref="Q125" si="194">SUM(E125:P125)</f>
        <v>185510.46180198816</v>
      </c>
      <c r="R125" s="160">
        <f t="shared" si="153"/>
        <v>10291.933351376036</v>
      </c>
      <c r="S125" s="161"/>
      <c r="T125" s="253">
        <f>E125+F125+G125+H125+I125+J125</f>
        <v>80512.027552206448</v>
      </c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</row>
    <row r="126" spans="1:31" s="116" customFormat="1" ht="24" customHeight="1">
      <c r="A126" s="133"/>
      <c r="B126" s="134" t="s">
        <v>24</v>
      </c>
      <c r="C126" s="135"/>
      <c r="D126" s="142">
        <f>D121-D131</f>
        <v>43734.815400121217</v>
      </c>
      <c r="E126" s="145">
        <f t="shared" ref="E126" si="195">E81*E36</f>
        <v>3382.0449064813356</v>
      </c>
      <c r="F126" s="145">
        <f>F81*F36</f>
        <v>4448.5656674514476</v>
      </c>
      <c r="G126" s="145">
        <f>G81*G36</f>
        <v>3339.434578178415</v>
      </c>
      <c r="H126" s="145">
        <f t="shared" si="193"/>
        <v>3796.6760541711074</v>
      </c>
      <c r="I126" s="145">
        <f t="shared" si="193"/>
        <v>3168.9452504728479</v>
      </c>
      <c r="J126" s="145">
        <f t="shared" si="193"/>
        <v>3218.7056431429514</v>
      </c>
      <c r="K126" s="145">
        <f t="shared" si="193"/>
        <v>4928.0372700913504</v>
      </c>
      <c r="L126" s="145">
        <f t="shared" si="193"/>
        <v>5257.4439584989195</v>
      </c>
      <c r="M126" s="145">
        <f t="shared" si="193"/>
        <v>3329.1953867551942</v>
      </c>
      <c r="N126" s="145">
        <f t="shared" si="193"/>
        <v>3767.6730623035505</v>
      </c>
      <c r="O126" s="145">
        <f t="shared" si="193"/>
        <v>2628.5933021006881</v>
      </c>
      <c r="P126" s="145">
        <f>P81*P36</f>
        <v>2469.5003204734066</v>
      </c>
      <c r="Q126" s="163">
        <f>SUM(E126:P126)</f>
        <v>43734.81540012121</v>
      </c>
      <c r="R126" s="160">
        <f t="shared" si="153"/>
        <v>0</v>
      </c>
      <c r="S126" s="161"/>
      <c r="T126" s="253">
        <f t="shared" si="179"/>
        <v>21354.372099898104</v>
      </c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</row>
    <row r="127" spans="1:31" s="116" customFormat="1" ht="24" customHeight="1">
      <c r="A127" s="133"/>
      <c r="B127" s="134" t="s">
        <v>25</v>
      </c>
      <c r="C127" s="135"/>
      <c r="D127" s="142">
        <f>D122-D132</f>
        <v>107563.99922811039</v>
      </c>
      <c r="E127" s="145">
        <f t="shared" ref="E127" si="196">E82*E37</f>
        <v>5124.1584203747507</v>
      </c>
      <c r="F127" s="145">
        <f>F82*F37</f>
        <v>6590.5484080439492</v>
      </c>
      <c r="G127" s="145">
        <f>G82*G37</f>
        <v>5059.8957945793736</v>
      </c>
      <c r="H127" s="145">
        <f t="shared" si="193"/>
        <v>5607.8050687084578</v>
      </c>
      <c r="I127" s="145">
        <f t="shared" si="193"/>
        <v>4802.7422307857278</v>
      </c>
      <c r="J127" s="145">
        <f t="shared" si="193"/>
        <v>4877.0090713670243</v>
      </c>
      <c r="K127" s="145">
        <f t="shared" si="193"/>
        <v>7444.6839600780995</v>
      </c>
      <c r="L127" s="145">
        <f t="shared" si="193"/>
        <v>13897.606699655131</v>
      </c>
      <c r="M127" s="145">
        <f t="shared" si="193"/>
        <v>8807.6465922942953</v>
      </c>
      <c r="N127" s="145">
        <f t="shared" si="193"/>
        <v>9731.2640864364093</v>
      </c>
      <c r="O127" s="145">
        <f t="shared" si="193"/>
        <v>6958.53326709677</v>
      </c>
      <c r="P127" s="145">
        <f>P82*P37</f>
        <v>7047.5131617021907</v>
      </c>
      <c r="Q127" s="163">
        <f>SUM(E127:P127)</f>
        <v>85949.406761122198</v>
      </c>
      <c r="R127" s="160">
        <f t="shared" si="153"/>
        <v>21614.592466988193</v>
      </c>
      <c r="S127" s="161"/>
      <c r="T127" s="253">
        <f t="shared" si="179"/>
        <v>32062.158993859284</v>
      </c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</row>
    <row r="128" spans="1:31" s="116" customFormat="1" ht="24" customHeight="1">
      <c r="A128" s="129">
        <v>26</v>
      </c>
      <c r="B128" s="139" t="s">
        <v>65</v>
      </c>
      <c r="C128" s="129" t="s">
        <v>63</v>
      </c>
      <c r="D128" s="174">
        <f>D129+D130+D131+D132</f>
        <v>0</v>
      </c>
      <c r="E128" s="132">
        <f>SUM(E129:E132)</f>
        <v>0</v>
      </c>
      <c r="F128" s="132">
        <f t="shared" ref="F128" si="197">SUM(F129:F132)</f>
        <v>0</v>
      </c>
      <c r="G128" s="132">
        <f t="shared" ref="G128:Q128" si="198">SUM(G129:G132)</f>
        <v>0</v>
      </c>
      <c r="H128" s="132">
        <f t="shared" si="198"/>
        <v>0</v>
      </c>
      <c r="I128" s="132">
        <f t="shared" si="198"/>
        <v>0</v>
      </c>
      <c r="J128" s="132">
        <f t="shared" si="198"/>
        <v>0</v>
      </c>
      <c r="K128" s="132">
        <f t="shared" si="198"/>
        <v>0</v>
      </c>
      <c r="L128" s="132">
        <f t="shared" si="198"/>
        <v>0</v>
      </c>
      <c r="M128" s="132">
        <f t="shared" si="198"/>
        <v>0</v>
      </c>
      <c r="N128" s="132">
        <f t="shared" si="198"/>
        <v>0</v>
      </c>
      <c r="O128" s="132">
        <f t="shared" si="198"/>
        <v>0</v>
      </c>
      <c r="P128" s="132">
        <f t="shared" si="198"/>
        <v>5.8541129692457616E-4</v>
      </c>
      <c r="Q128" s="132">
        <f t="shared" si="198"/>
        <v>5.8541129692457616E-4</v>
      </c>
      <c r="R128" s="160">
        <f t="shared" si="153"/>
        <v>-5.8541129692457616E-4</v>
      </c>
      <c r="S128" s="161"/>
      <c r="T128" s="253">
        <f t="shared" ref="T128:T132" si="199">E128+F128+G128+H128</f>
        <v>0</v>
      </c>
    </row>
    <row r="129" spans="1:35" s="116" customFormat="1" ht="24" customHeight="1">
      <c r="A129" s="133"/>
      <c r="B129" s="134" t="s">
        <v>22</v>
      </c>
      <c r="C129" s="135"/>
      <c r="D129" s="142">
        <v>0</v>
      </c>
      <c r="E129" s="143">
        <f>E119-E124</f>
        <v>0</v>
      </c>
      <c r="F129" s="143">
        <f t="shared" ref="F129" si="200">F119-F124</f>
        <v>0</v>
      </c>
      <c r="G129" s="143">
        <f t="shared" ref="G129:P129" si="201">G119-G124</f>
        <v>0</v>
      </c>
      <c r="H129" s="143">
        <f t="shared" si="201"/>
        <v>0</v>
      </c>
      <c r="I129" s="143">
        <f t="shared" si="201"/>
        <v>0</v>
      </c>
      <c r="J129" s="143">
        <f t="shared" si="201"/>
        <v>0</v>
      </c>
      <c r="K129" s="143">
        <f t="shared" si="201"/>
        <v>0</v>
      </c>
      <c r="L129" s="143">
        <f t="shared" si="201"/>
        <v>0</v>
      </c>
      <c r="M129" s="143">
        <f t="shared" si="201"/>
        <v>0</v>
      </c>
      <c r="N129" s="143">
        <f t="shared" si="201"/>
        <v>0</v>
      </c>
      <c r="O129" s="143">
        <f t="shared" si="201"/>
        <v>0</v>
      </c>
      <c r="P129" s="143">
        <f t="shared" si="201"/>
        <v>0</v>
      </c>
      <c r="Q129" s="163">
        <f>SUM(E129:P129)</f>
        <v>0</v>
      </c>
      <c r="R129" s="160">
        <f t="shared" si="153"/>
        <v>0</v>
      </c>
      <c r="S129" s="161"/>
      <c r="T129" s="253">
        <f t="shared" si="199"/>
        <v>0</v>
      </c>
    </row>
    <row r="130" spans="1:35" s="116" customFormat="1" ht="24" customHeight="1">
      <c r="A130" s="133"/>
      <c r="B130" s="134" t="s">
        <v>23</v>
      </c>
      <c r="C130" s="135"/>
      <c r="D130" s="142">
        <v>0</v>
      </c>
      <c r="E130" s="143">
        <f t="shared" ref="E130" si="202">E120-E125</f>
        <v>0</v>
      </c>
      <c r="F130" s="143">
        <f t="shared" ref="F130" si="203">F120-F125</f>
        <v>0</v>
      </c>
      <c r="G130" s="143">
        <f t="shared" ref="G130:O130" si="204">G120-G125</f>
        <v>0</v>
      </c>
      <c r="H130" s="143">
        <f t="shared" si="204"/>
        <v>0</v>
      </c>
      <c r="I130" s="143">
        <f t="shared" si="204"/>
        <v>0</v>
      </c>
      <c r="J130" s="143">
        <f t="shared" si="204"/>
        <v>0</v>
      </c>
      <c r="K130" s="143">
        <f t="shared" si="204"/>
        <v>0</v>
      </c>
      <c r="L130" s="143">
        <f t="shared" si="204"/>
        <v>0</v>
      </c>
      <c r="M130" s="143">
        <f t="shared" si="204"/>
        <v>0</v>
      </c>
      <c r="N130" s="143">
        <f t="shared" si="204"/>
        <v>0</v>
      </c>
      <c r="O130" s="143">
        <f t="shared" si="204"/>
        <v>0</v>
      </c>
      <c r="P130" s="143">
        <f>P120-P125-2.91038304567337E-11</f>
        <v>5.8541129692457616E-4</v>
      </c>
      <c r="Q130" s="163">
        <f t="shared" ref="Q130" si="205">SUM(E130:P130)</f>
        <v>5.8541129692457616E-4</v>
      </c>
      <c r="R130" s="160">
        <f t="shared" si="153"/>
        <v>-5.8541129692457616E-4</v>
      </c>
      <c r="S130" s="161"/>
      <c r="T130" s="253">
        <f t="shared" si="199"/>
        <v>0</v>
      </c>
    </row>
    <row r="131" spans="1:35" s="116" customFormat="1" ht="24" customHeight="1">
      <c r="A131" s="133"/>
      <c r="B131" s="134" t="s">
        <v>24</v>
      </c>
      <c r="C131" s="135"/>
      <c r="D131" s="142">
        <v>0</v>
      </c>
      <c r="E131" s="143">
        <f t="shared" ref="E131" si="206">E121-E126</f>
        <v>0</v>
      </c>
      <c r="F131" s="143">
        <f>F121-F126</f>
        <v>0</v>
      </c>
      <c r="G131" s="143">
        <f t="shared" ref="G131:O131" si="207">G121-G126</f>
        <v>0</v>
      </c>
      <c r="H131" s="143">
        <f t="shared" si="207"/>
        <v>0</v>
      </c>
      <c r="I131" s="143">
        <f t="shared" si="207"/>
        <v>0</v>
      </c>
      <c r="J131" s="143">
        <f t="shared" si="207"/>
        <v>0</v>
      </c>
      <c r="K131" s="143">
        <f t="shared" si="207"/>
        <v>0</v>
      </c>
      <c r="L131" s="143">
        <f t="shared" si="207"/>
        <v>0</v>
      </c>
      <c r="M131" s="143">
        <f t="shared" si="207"/>
        <v>0</v>
      </c>
      <c r="N131" s="143">
        <f t="shared" si="207"/>
        <v>0</v>
      </c>
      <c r="O131" s="143">
        <f t="shared" si="207"/>
        <v>0</v>
      </c>
      <c r="P131" s="143">
        <f>P121-P126</f>
        <v>0</v>
      </c>
      <c r="Q131" s="163">
        <f>SUM(E131:P131)</f>
        <v>0</v>
      </c>
      <c r="R131" s="160">
        <f t="shared" si="153"/>
        <v>0</v>
      </c>
      <c r="S131" s="161"/>
      <c r="T131" s="253">
        <f t="shared" si="199"/>
        <v>0</v>
      </c>
    </row>
    <row r="132" spans="1:35" s="116" customFormat="1" ht="24" customHeight="1">
      <c r="A132" s="133"/>
      <c r="B132" s="134" t="s">
        <v>25</v>
      </c>
      <c r="C132" s="135"/>
      <c r="D132" s="142">
        <v>0</v>
      </c>
      <c r="E132" s="143">
        <f t="shared" ref="E132" si="208">E122-E127</f>
        <v>0</v>
      </c>
      <c r="F132" s="143">
        <f>F122-F127</f>
        <v>0</v>
      </c>
      <c r="G132" s="143">
        <f t="shared" ref="G132:O132" si="209">G122-G127</f>
        <v>0</v>
      </c>
      <c r="H132" s="143">
        <f t="shared" si="209"/>
        <v>0</v>
      </c>
      <c r="I132" s="143">
        <f t="shared" si="209"/>
        <v>0</v>
      </c>
      <c r="J132" s="143">
        <f t="shared" si="209"/>
        <v>0</v>
      </c>
      <c r="K132" s="143">
        <f t="shared" si="209"/>
        <v>0</v>
      </c>
      <c r="L132" s="143">
        <f t="shared" si="209"/>
        <v>0</v>
      </c>
      <c r="M132" s="143">
        <f t="shared" si="209"/>
        <v>0</v>
      </c>
      <c r="N132" s="143">
        <f t="shared" si="209"/>
        <v>0</v>
      </c>
      <c r="O132" s="143">
        <f t="shared" si="209"/>
        <v>0</v>
      </c>
      <c r="P132" s="143">
        <f>P122-P127</f>
        <v>0</v>
      </c>
      <c r="Q132" s="163">
        <f>SUM(E132:P132)</f>
        <v>0</v>
      </c>
      <c r="R132" s="160">
        <f t="shared" ref="R132" si="210">D132-Q132</f>
        <v>0</v>
      </c>
      <c r="S132" s="161"/>
      <c r="T132" s="253">
        <f t="shared" si="199"/>
        <v>0</v>
      </c>
    </row>
    <row r="133" spans="1:35" s="116" customFormat="1" ht="24" customHeight="1">
      <c r="A133" s="129">
        <v>27</v>
      </c>
      <c r="B133" s="139" t="s">
        <v>66</v>
      </c>
      <c r="C133" s="129" t="s">
        <v>63</v>
      </c>
      <c r="D133" s="140">
        <f>D134+D135+D136+D137</f>
        <v>511006.48342638987</v>
      </c>
      <c r="E133" s="132">
        <f>SUM(E134:E137)</f>
        <v>32046.610408299679</v>
      </c>
      <c r="F133" s="132">
        <f t="shared" ref="F133" si="211">SUM(F134:F137)</f>
        <v>43485.151057669893</v>
      </c>
      <c r="G133" s="132">
        <f t="shared" ref="G133:Q133" si="212">SUM(G134:G137)</f>
        <v>33623.18782178624</v>
      </c>
      <c r="H133" s="132">
        <f t="shared" si="212"/>
        <v>36838.218991221431</v>
      </c>
      <c r="I133" s="132">
        <f t="shared" si="212"/>
        <v>32336.814758619323</v>
      </c>
      <c r="J133" s="132">
        <f t="shared" si="212"/>
        <v>34485.810037827527</v>
      </c>
      <c r="K133" s="132">
        <f t="shared" si="212"/>
        <v>51229.189026693151</v>
      </c>
      <c r="L133" s="132">
        <f t="shared" si="212"/>
        <v>60905.346636845687</v>
      </c>
      <c r="M133" s="132">
        <f t="shared" si="212"/>
        <v>40735.775633671103</v>
      </c>
      <c r="N133" s="132">
        <f t="shared" si="212"/>
        <v>47204.295511851153</v>
      </c>
      <c r="O133" s="132">
        <f t="shared" si="212"/>
        <v>37280.632496207152</v>
      </c>
      <c r="P133" s="132">
        <f t="shared" si="212"/>
        <v>37283.723273300871</v>
      </c>
      <c r="Q133" s="132">
        <f t="shared" si="212"/>
        <v>487454.75565399323</v>
      </c>
      <c r="R133" s="160">
        <f t="shared" ref="R133:R164" si="213">D133-Q133</f>
        <v>23551.72777239664</v>
      </c>
      <c r="S133" s="161"/>
      <c r="T133" s="253">
        <f>E133+F133+G133+H133+I133+J133</f>
        <v>212815.7930754241</v>
      </c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</row>
    <row r="134" spans="1:35" s="116" customFormat="1" ht="24" customHeight="1">
      <c r="A134" s="133"/>
      <c r="B134" s="134" t="s">
        <v>22</v>
      </c>
      <c r="C134" s="135"/>
      <c r="D134" s="142">
        <v>167448.9768062066</v>
      </c>
      <c r="E134" s="145">
        <f>E149*E34</f>
        <v>11531.745988152765</v>
      </c>
      <c r="F134" s="145">
        <f t="shared" ref="F134" si="214">F149*F34</f>
        <v>15869.817670196804</v>
      </c>
      <c r="G134" s="145">
        <f t="shared" ref="G134:P134" si="215">G149*G34</f>
        <v>12352.447986343568</v>
      </c>
      <c r="H134" s="145">
        <f t="shared" si="215"/>
        <v>13763.916752709954</v>
      </c>
      <c r="I134" s="145">
        <f t="shared" si="215"/>
        <v>12711.085541612785</v>
      </c>
      <c r="J134" s="145">
        <f t="shared" si="215"/>
        <v>14125.770107930754</v>
      </c>
      <c r="K134" s="145">
        <f t="shared" si="215"/>
        <v>20766.955389269551</v>
      </c>
      <c r="L134" s="145">
        <f t="shared" si="215"/>
        <v>18687.066041135793</v>
      </c>
      <c r="M134" s="145">
        <f t="shared" si="215"/>
        <v>12970.613351727572</v>
      </c>
      <c r="N134" s="145">
        <f t="shared" si="215"/>
        <v>16009.025668100419</v>
      </c>
      <c r="O134" s="145">
        <f t="shared" si="215"/>
        <v>13164.092748621912</v>
      </c>
      <c r="P134" s="145">
        <f t="shared" si="215"/>
        <v>13483.982032970947</v>
      </c>
      <c r="Q134" s="163">
        <f>SUM(E134:P134)</f>
        <v>175436.51927877282</v>
      </c>
      <c r="R134" s="160">
        <f t="shared" si="213"/>
        <v>-7987.542472566216</v>
      </c>
      <c r="S134" s="161"/>
      <c r="T134" s="253">
        <f t="shared" ref="T134:T147" si="216">E134+F134+G134+H134+I134+J134</f>
        <v>80354.784046946632</v>
      </c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</row>
    <row r="135" spans="1:35" s="116" customFormat="1" ht="24" customHeight="1">
      <c r="A135" s="133"/>
      <c r="B135" s="134" t="s">
        <v>23</v>
      </c>
      <c r="C135" s="135"/>
      <c r="D135" s="142">
        <v>194058.26265336422</v>
      </c>
      <c r="E135" s="145">
        <f t="shared" ref="E135" si="217">E150*E35</f>
        <v>12122.265082361864</v>
      </c>
      <c r="F135" s="145">
        <f t="shared" ref="F135" si="218">F150*F35</f>
        <v>16682.494011431249</v>
      </c>
      <c r="G135" s="145">
        <f t="shared" ref="G135:P135" si="219">G150*G35</f>
        <v>12985.013451755924</v>
      </c>
      <c r="H135" s="145">
        <f t="shared" si="219"/>
        <v>13779.760459894207</v>
      </c>
      <c r="I135" s="145">
        <f t="shared" si="219"/>
        <v>11767.645724819002</v>
      </c>
      <c r="J135" s="145">
        <f t="shared" si="219"/>
        <v>12374.264559649098</v>
      </c>
      <c r="K135" s="145">
        <f t="shared" si="219"/>
        <v>18192.025365880228</v>
      </c>
      <c r="L135" s="145">
        <f t="shared" si="219"/>
        <v>23215.652533184264</v>
      </c>
      <c r="M135" s="145">
        <f t="shared" si="219"/>
        <v>15775.826040598957</v>
      </c>
      <c r="N135" s="145">
        <f t="shared" si="219"/>
        <v>17848.755290639183</v>
      </c>
      <c r="O135" s="145">
        <f t="shared" si="219"/>
        <v>14676.918916092704</v>
      </c>
      <c r="P135" s="145">
        <f t="shared" si="219"/>
        <v>14435.151015195319</v>
      </c>
      <c r="Q135" s="163">
        <f t="shared" ref="Q135" si="220">SUM(E135:P135)</f>
        <v>183855.77245150198</v>
      </c>
      <c r="R135" s="160">
        <f t="shared" si="213"/>
        <v>10202.490201862238</v>
      </c>
      <c r="S135" s="161"/>
      <c r="T135" s="253">
        <f t="shared" si="216"/>
        <v>79711.443289911345</v>
      </c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</row>
    <row r="136" spans="1:35" s="116" customFormat="1" ht="24" customHeight="1">
      <c r="A136" s="133"/>
      <c r="B136" s="134" t="s">
        <v>24</v>
      </c>
      <c r="C136" s="135"/>
      <c r="D136" s="142">
        <v>43310.170738708643</v>
      </c>
      <c r="E136" s="145">
        <f t="shared" ref="E136" si="221">E151*E36</f>
        <v>3346.0781305250516</v>
      </c>
      <c r="F136" s="145">
        <f>F151*F36</f>
        <v>4414.9193286536338</v>
      </c>
      <c r="G136" s="145">
        <f t="shared" ref="G136:P136" si="222">G151*G36</f>
        <v>3303.4678022221306</v>
      </c>
      <c r="H136" s="145">
        <f t="shared" si="222"/>
        <v>3761.8694967940583</v>
      </c>
      <c r="I136" s="145">
        <f t="shared" si="222"/>
        <v>3132.9784745165634</v>
      </c>
      <c r="J136" s="145">
        <f t="shared" si="222"/>
        <v>3183.8990857659023</v>
      </c>
      <c r="K136" s="145">
        <f t="shared" si="222"/>
        <v>4892.0704941350659</v>
      </c>
      <c r="L136" s="145">
        <f t="shared" si="222"/>
        <v>5221.4771825426351</v>
      </c>
      <c r="M136" s="145">
        <f t="shared" si="222"/>
        <v>3294.3888293781451</v>
      </c>
      <c r="N136" s="145">
        <f t="shared" si="222"/>
        <v>3731.7062863472661</v>
      </c>
      <c r="O136" s="145">
        <f t="shared" si="222"/>
        <v>2593.786744723639</v>
      </c>
      <c r="P136" s="145">
        <f t="shared" si="222"/>
        <v>2433.5288831045473</v>
      </c>
      <c r="Q136" s="163">
        <f>SUM(E136:P136)</f>
        <v>43310.170738708643</v>
      </c>
      <c r="R136" s="160">
        <f t="shared" si="213"/>
        <v>0</v>
      </c>
      <c r="S136" s="161"/>
      <c r="T136" s="253">
        <f t="shared" si="216"/>
        <v>21143.212318477337</v>
      </c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</row>
    <row r="137" spans="1:35" s="116" customFormat="1" ht="24" customHeight="1">
      <c r="A137" s="133"/>
      <c r="B137" s="134" t="s">
        <v>25</v>
      </c>
      <c r="C137" s="135"/>
      <c r="D137" s="142">
        <v>106189.0732281104</v>
      </c>
      <c r="E137" s="145">
        <f t="shared" ref="E137" si="223">E152*E37</f>
        <v>5046.521207259997</v>
      </c>
      <c r="F137" s="145">
        <f>F152*F37</f>
        <v>6517.920047388212</v>
      </c>
      <c r="G137" s="145">
        <f t="shared" ref="G137:P137" si="224">G152*G37</f>
        <v>4982.2585814646191</v>
      </c>
      <c r="H137" s="145">
        <f t="shared" si="224"/>
        <v>5532.6722818232129</v>
      </c>
      <c r="I137" s="145">
        <f t="shared" si="224"/>
        <v>4725.1050176709741</v>
      </c>
      <c r="J137" s="145">
        <f t="shared" si="224"/>
        <v>4801.8762844817784</v>
      </c>
      <c r="K137" s="145">
        <f t="shared" si="224"/>
        <v>7378.1377774083103</v>
      </c>
      <c r="L137" s="145">
        <f t="shared" si="224"/>
        <v>13781.150879982999</v>
      </c>
      <c r="M137" s="145">
        <f t="shared" si="224"/>
        <v>8694.9474119664264</v>
      </c>
      <c r="N137" s="145">
        <f t="shared" si="224"/>
        <v>9614.8082667642793</v>
      </c>
      <c r="O137" s="145">
        <f t="shared" si="224"/>
        <v>6845.8340867689012</v>
      </c>
      <c r="P137" s="145">
        <f t="shared" si="224"/>
        <v>6931.0613420300597</v>
      </c>
      <c r="Q137" s="163">
        <f>SUM(E137:P137)</f>
        <v>84852.293185009767</v>
      </c>
      <c r="R137" s="160">
        <f t="shared" si="213"/>
        <v>21336.780043100633</v>
      </c>
      <c r="S137" s="161"/>
      <c r="T137" s="253">
        <f t="shared" si="216"/>
        <v>31606.353420088792</v>
      </c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</row>
    <row r="138" spans="1:35" s="116" customFormat="1" ht="24" customHeight="1">
      <c r="A138" s="129">
        <v>28</v>
      </c>
      <c r="B138" s="139" t="s">
        <v>67</v>
      </c>
      <c r="C138" s="129" t="s">
        <v>63</v>
      </c>
      <c r="D138" s="140">
        <f>D139+D140+D141+D142</f>
        <v>511006.48342638987</v>
      </c>
      <c r="E138" s="132">
        <f>SUM(E139:E142)</f>
        <v>32046.610408299679</v>
      </c>
      <c r="F138" s="132">
        <f t="shared" ref="F138" si="225">SUM(F139:F142)</f>
        <v>43485.151057669893</v>
      </c>
      <c r="G138" s="132">
        <f t="shared" ref="G138:Q138" si="226">SUM(G139:G142)</f>
        <v>33623.18782178624</v>
      </c>
      <c r="H138" s="132">
        <f t="shared" si="226"/>
        <v>36838.218991221431</v>
      </c>
      <c r="I138" s="132">
        <f t="shared" si="226"/>
        <v>32336.814758619323</v>
      </c>
      <c r="J138" s="132">
        <f t="shared" si="226"/>
        <v>34485.810037827527</v>
      </c>
      <c r="K138" s="132">
        <f t="shared" si="226"/>
        <v>51229.189026693151</v>
      </c>
      <c r="L138" s="132">
        <f t="shared" si="226"/>
        <v>60905.346636845687</v>
      </c>
      <c r="M138" s="132">
        <f t="shared" si="226"/>
        <v>40735.775633671103</v>
      </c>
      <c r="N138" s="132">
        <f t="shared" si="226"/>
        <v>47204.295511851153</v>
      </c>
      <c r="O138" s="132">
        <f t="shared" si="226"/>
        <v>37280.632496207152</v>
      </c>
      <c r="P138" s="132">
        <f t="shared" si="226"/>
        <v>37283.723273300871</v>
      </c>
      <c r="Q138" s="132">
        <f t="shared" si="226"/>
        <v>487454.75565399323</v>
      </c>
      <c r="R138" s="160">
        <f t="shared" si="213"/>
        <v>23551.72777239664</v>
      </c>
      <c r="S138" s="161"/>
      <c r="T138" s="253">
        <f t="shared" si="216"/>
        <v>212815.7930754241</v>
      </c>
    </row>
    <row r="139" spans="1:35" s="116" customFormat="1" ht="24" customHeight="1">
      <c r="A139" s="133"/>
      <c r="B139" s="134" t="s">
        <v>22</v>
      </c>
      <c r="C139" s="135"/>
      <c r="D139" s="142">
        <v>167448.9768062066</v>
      </c>
      <c r="E139" s="145">
        <f>E154*E34</f>
        <v>11531.745988152765</v>
      </c>
      <c r="F139" s="145">
        <f t="shared" ref="F139" si="227">F154*F34</f>
        <v>15869.817670196804</v>
      </c>
      <c r="G139" s="145">
        <f t="shared" ref="G139:P139" si="228">G154*G34</f>
        <v>12352.447986343568</v>
      </c>
      <c r="H139" s="145">
        <f t="shared" si="228"/>
        <v>13763.916752709954</v>
      </c>
      <c r="I139" s="145">
        <f t="shared" si="228"/>
        <v>12711.085541612785</v>
      </c>
      <c r="J139" s="145">
        <f t="shared" si="228"/>
        <v>14125.770107930754</v>
      </c>
      <c r="K139" s="145">
        <f t="shared" si="228"/>
        <v>20766.955389269551</v>
      </c>
      <c r="L139" s="145">
        <f t="shared" si="228"/>
        <v>18687.066041135793</v>
      </c>
      <c r="M139" s="145">
        <f t="shared" si="228"/>
        <v>12970.613351727572</v>
      </c>
      <c r="N139" s="145">
        <f t="shared" si="228"/>
        <v>16009.025668100419</v>
      </c>
      <c r="O139" s="145">
        <f t="shared" si="228"/>
        <v>13164.092748621912</v>
      </c>
      <c r="P139" s="145">
        <f t="shared" si="228"/>
        <v>13483.982032970947</v>
      </c>
      <c r="Q139" s="163">
        <f>SUM(E139:P139)</f>
        <v>175436.51927877282</v>
      </c>
      <c r="R139" s="160">
        <f t="shared" si="213"/>
        <v>-7987.542472566216</v>
      </c>
      <c r="S139" s="161"/>
      <c r="T139" s="253">
        <f t="shared" si="216"/>
        <v>80354.784046946632</v>
      </c>
    </row>
    <row r="140" spans="1:35" s="116" customFormat="1" ht="24" customHeight="1">
      <c r="A140" s="133"/>
      <c r="B140" s="134" t="s">
        <v>23</v>
      </c>
      <c r="C140" s="135"/>
      <c r="D140" s="142">
        <v>194058.26265336422</v>
      </c>
      <c r="E140" s="145">
        <f t="shared" ref="E140" si="229">E155*E35</f>
        <v>12122.265082361864</v>
      </c>
      <c r="F140" s="145">
        <f t="shared" ref="F140" si="230">F155*F35</f>
        <v>16682.494011431249</v>
      </c>
      <c r="G140" s="145">
        <f t="shared" ref="G140:P140" si="231">G155*G35</f>
        <v>12985.013451755924</v>
      </c>
      <c r="H140" s="145">
        <f t="shared" si="231"/>
        <v>13779.760459894207</v>
      </c>
      <c r="I140" s="145">
        <f t="shared" si="231"/>
        <v>11767.645724819002</v>
      </c>
      <c r="J140" s="145">
        <f t="shared" si="231"/>
        <v>12374.264559649098</v>
      </c>
      <c r="K140" s="145">
        <f t="shared" si="231"/>
        <v>18192.025365880228</v>
      </c>
      <c r="L140" s="145">
        <f t="shared" si="231"/>
        <v>23215.652533184264</v>
      </c>
      <c r="M140" s="145">
        <f t="shared" si="231"/>
        <v>15775.826040598957</v>
      </c>
      <c r="N140" s="145">
        <f t="shared" si="231"/>
        <v>17848.755290639183</v>
      </c>
      <c r="O140" s="145">
        <f t="shared" si="231"/>
        <v>14676.918916092704</v>
      </c>
      <c r="P140" s="145">
        <f t="shared" si="231"/>
        <v>14435.151015195319</v>
      </c>
      <c r="Q140" s="163">
        <f t="shared" ref="Q140" si="232">SUM(E140:P140)</f>
        <v>183855.77245150198</v>
      </c>
      <c r="R140" s="160">
        <f t="shared" si="213"/>
        <v>10202.490201862238</v>
      </c>
      <c r="S140" s="161"/>
      <c r="T140" s="253">
        <f t="shared" si="216"/>
        <v>79711.443289911345</v>
      </c>
    </row>
    <row r="141" spans="1:35" s="116" customFormat="1" ht="24" customHeight="1">
      <c r="A141" s="133"/>
      <c r="B141" s="134" t="s">
        <v>24</v>
      </c>
      <c r="C141" s="135"/>
      <c r="D141" s="142">
        <v>43310.170738708643</v>
      </c>
      <c r="E141" s="145">
        <f t="shared" ref="E141" si="233">E156*E36</f>
        <v>3346.0781305250516</v>
      </c>
      <c r="F141" s="145">
        <f>F156*F36</f>
        <v>4414.9193286536338</v>
      </c>
      <c r="G141" s="145">
        <f t="shared" ref="G141:P141" si="234">G156*G36</f>
        <v>3303.4678022221306</v>
      </c>
      <c r="H141" s="145">
        <f t="shared" si="234"/>
        <v>3761.8694967940583</v>
      </c>
      <c r="I141" s="145">
        <f t="shared" si="234"/>
        <v>3132.9784745165634</v>
      </c>
      <c r="J141" s="145">
        <f t="shared" si="234"/>
        <v>3183.8990857659023</v>
      </c>
      <c r="K141" s="145">
        <f t="shared" si="234"/>
        <v>4892.0704941350659</v>
      </c>
      <c r="L141" s="145">
        <f t="shared" si="234"/>
        <v>5221.4771825426351</v>
      </c>
      <c r="M141" s="145">
        <f t="shared" si="234"/>
        <v>3294.3888293781451</v>
      </c>
      <c r="N141" s="145">
        <f t="shared" si="234"/>
        <v>3731.7062863472661</v>
      </c>
      <c r="O141" s="145">
        <f t="shared" si="234"/>
        <v>2593.786744723639</v>
      </c>
      <c r="P141" s="145">
        <f t="shared" si="234"/>
        <v>2433.5288831045473</v>
      </c>
      <c r="Q141" s="163">
        <f>SUM(E141:P141)</f>
        <v>43310.170738708643</v>
      </c>
      <c r="R141" s="160">
        <f t="shared" si="213"/>
        <v>0</v>
      </c>
      <c r="S141" s="161"/>
      <c r="T141" s="253">
        <f t="shared" si="216"/>
        <v>21143.212318477337</v>
      </c>
    </row>
    <row r="142" spans="1:35" s="116" customFormat="1" ht="24" customHeight="1">
      <c r="A142" s="133"/>
      <c r="B142" s="134" t="s">
        <v>25</v>
      </c>
      <c r="C142" s="135"/>
      <c r="D142" s="142">
        <v>106189.0732281104</v>
      </c>
      <c r="E142" s="145">
        <f t="shared" ref="E142" si="235">E157*E37</f>
        <v>5046.521207259997</v>
      </c>
      <c r="F142" s="145">
        <f>F157*F37</f>
        <v>6517.920047388212</v>
      </c>
      <c r="G142" s="145">
        <f t="shared" ref="G142:P142" si="236">G157*G37</f>
        <v>4982.2585814646191</v>
      </c>
      <c r="H142" s="145">
        <f t="shared" si="236"/>
        <v>5532.6722818232129</v>
      </c>
      <c r="I142" s="145">
        <f t="shared" si="236"/>
        <v>4725.1050176709741</v>
      </c>
      <c r="J142" s="145">
        <f t="shared" si="236"/>
        <v>4801.8762844817784</v>
      </c>
      <c r="K142" s="145">
        <f t="shared" si="236"/>
        <v>7378.1377774083103</v>
      </c>
      <c r="L142" s="145">
        <f t="shared" si="236"/>
        <v>13781.150879982999</v>
      </c>
      <c r="M142" s="145">
        <f t="shared" si="236"/>
        <v>8694.9474119664264</v>
      </c>
      <c r="N142" s="145">
        <f t="shared" si="236"/>
        <v>9614.8082667642793</v>
      </c>
      <c r="O142" s="145">
        <f t="shared" si="236"/>
        <v>6845.8340867689012</v>
      </c>
      <c r="P142" s="145">
        <f t="shared" si="236"/>
        <v>6931.0613420300597</v>
      </c>
      <c r="Q142" s="163">
        <f>SUM(E142:P142)</f>
        <v>84852.293185009767</v>
      </c>
      <c r="R142" s="160">
        <f t="shared" si="213"/>
        <v>21336.780043100633</v>
      </c>
      <c r="S142" s="161"/>
      <c r="T142" s="253">
        <f t="shared" si="216"/>
        <v>31606.353420088792</v>
      </c>
    </row>
    <row r="143" spans="1:35" s="116" customFormat="1" ht="24" customHeight="1">
      <c r="A143" s="129">
        <v>29</v>
      </c>
      <c r="B143" s="139" t="s">
        <v>68</v>
      </c>
      <c r="C143" s="129" t="s">
        <v>63</v>
      </c>
      <c r="D143" s="140">
        <f>D144+D145+D146+D147</f>
        <v>5875.2342624505509</v>
      </c>
      <c r="E143" s="132">
        <f>SUM(E144:E147)</f>
        <v>458.81016393442616</v>
      </c>
      <c r="F143" s="132">
        <f>SUM(F144:F147)</f>
        <v>429.20950819672095</v>
      </c>
      <c r="G143" s="132">
        <f t="shared" ref="G143:Q143" si="237">SUM(G144:G147)</f>
        <v>458.81016393442593</v>
      </c>
      <c r="H143" s="132">
        <f t="shared" si="237"/>
        <v>431.57121374527105</v>
      </c>
      <c r="I143" s="132">
        <f t="shared" si="237"/>
        <v>462.83821731820098</v>
      </c>
      <c r="J143" s="132">
        <f t="shared" si="237"/>
        <v>460.23756620428753</v>
      </c>
      <c r="K143" s="132">
        <f t="shared" si="237"/>
        <v>464.48778796613232</v>
      </c>
      <c r="L143" s="132">
        <f t="shared" si="237"/>
        <v>497.62877049180332</v>
      </c>
      <c r="M143" s="132">
        <f t="shared" si="237"/>
        <v>481.57622950819672</v>
      </c>
      <c r="N143" s="132">
        <f t="shared" si="237"/>
        <v>497.62877049180338</v>
      </c>
      <c r="O143" s="132">
        <f t="shared" si="237"/>
        <v>481.57622950819672</v>
      </c>
      <c r="P143" s="132">
        <f t="shared" si="237"/>
        <v>497.63303294235664</v>
      </c>
      <c r="Q143" s="132">
        <f t="shared" si="237"/>
        <v>5622.0076542418228</v>
      </c>
      <c r="R143" s="160">
        <f t="shared" si="213"/>
        <v>253.22660820872807</v>
      </c>
      <c r="S143" s="161"/>
      <c r="T143" s="253">
        <f t="shared" si="216"/>
        <v>2701.4768333333323</v>
      </c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/>
      <c r="AE143" s="170"/>
      <c r="AF143" s="170"/>
      <c r="AG143" s="170"/>
      <c r="AH143" s="170"/>
      <c r="AI143" s="170"/>
    </row>
    <row r="144" spans="1:35" s="116" customFormat="1" ht="24" customHeight="1">
      <c r="A144" s="133"/>
      <c r="B144" s="134" t="s">
        <v>22</v>
      </c>
      <c r="C144" s="135"/>
      <c r="D144" s="142">
        <v>2331.531101037976</v>
      </c>
      <c r="E144" s="145">
        <f>E179*E34</f>
        <v>197.47931693989065</v>
      </c>
      <c r="F144" s="145">
        <f>F179*F34</f>
        <v>184.73871584699413</v>
      </c>
      <c r="G144" s="145">
        <f t="shared" ref="G144:P144" si="238">G179*G34</f>
        <v>197.47931693989042</v>
      </c>
      <c r="H144" s="145">
        <f t="shared" si="238"/>
        <v>200.66446721311476</v>
      </c>
      <c r="I144" s="145">
        <f t="shared" si="238"/>
        <v>224.2345792349727</v>
      </c>
      <c r="J144" s="145">
        <f t="shared" si="238"/>
        <v>229.33081967213116</v>
      </c>
      <c r="K144" s="145">
        <f t="shared" si="238"/>
        <v>236.97518032786891</v>
      </c>
      <c r="L144" s="145">
        <f t="shared" si="238"/>
        <v>197.47931693989077</v>
      </c>
      <c r="M144" s="145">
        <f t="shared" si="238"/>
        <v>191.10901639344263</v>
      </c>
      <c r="N144" s="145">
        <f t="shared" si="238"/>
        <v>197.47931693989074</v>
      </c>
      <c r="O144" s="145">
        <f t="shared" si="238"/>
        <v>191.10901639344263</v>
      </c>
      <c r="P144" s="145">
        <f t="shared" si="238"/>
        <v>197.48041797786919</v>
      </c>
      <c r="Q144" s="165">
        <f>SUM(E144:P144)</f>
        <v>2445.5594808193991</v>
      </c>
      <c r="R144" s="160">
        <f t="shared" si="213"/>
        <v>-114.02837978142315</v>
      </c>
      <c r="S144" s="161"/>
      <c r="T144" s="253">
        <f t="shared" si="216"/>
        <v>1233.9272158469939</v>
      </c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  <c r="AG144" s="170"/>
      <c r="AH144" s="170"/>
      <c r="AI144" s="170"/>
    </row>
    <row r="145" spans="1:35" s="116" customFormat="1" ht="24" customHeight="1">
      <c r="A145" s="133"/>
      <c r="B145" s="134" t="s">
        <v>23</v>
      </c>
      <c r="C145" s="135"/>
      <c r="D145" s="142">
        <v>1744.1324999999997</v>
      </c>
      <c r="E145" s="145">
        <f>E180*E35</f>
        <v>147.72685792349728</v>
      </c>
      <c r="F145" s="145">
        <f t="shared" ref="F145" si="239">F180*F35</f>
        <v>138.19609289617486</v>
      </c>
      <c r="G145" s="145">
        <f t="shared" ref="G145:P145" si="240">G180*G35</f>
        <v>147.72685792349728</v>
      </c>
      <c r="H145" s="145">
        <f t="shared" si="240"/>
        <v>120.96740226986127</v>
      </c>
      <c r="I145" s="145">
        <f t="shared" si="240"/>
        <v>124.99964901219001</v>
      </c>
      <c r="J145" s="145">
        <f t="shared" si="240"/>
        <v>120.96740226986127</v>
      </c>
      <c r="K145" s="145">
        <f t="shared" si="240"/>
        <v>124.99964901219002</v>
      </c>
      <c r="L145" s="145">
        <f t="shared" si="240"/>
        <v>147.72685792349728</v>
      </c>
      <c r="M145" s="145">
        <f t="shared" si="240"/>
        <v>142.96147540983603</v>
      </c>
      <c r="N145" s="145">
        <f t="shared" si="240"/>
        <v>147.72685792349728</v>
      </c>
      <c r="O145" s="145">
        <f t="shared" si="240"/>
        <v>142.96147540983605</v>
      </c>
      <c r="P145" s="145">
        <f t="shared" si="240"/>
        <v>147.72935792349688</v>
      </c>
      <c r="Q145" s="165">
        <f t="shared" ref="Q145" si="241">SUM(E145:P145)</f>
        <v>1654.689935897436</v>
      </c>
      <c r="R145" s="160">
        <f t="shared" si="213"/>
        <v>89.442564102563665</v>
      </c>
      <c r="S145" s="161"/>
      <c r="T145" s="253">
        <f t="shared" si="216"/>
        <v>800.584262295082</v>
      </c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0"/>
      <c r="AI145" s="170"/>
    </row>
    <row r="146" spans="1:35" s="116" customFormat="1" ht="24" customHeight="1">
      <c r="A146" s="133"/>
      <c r="B146" s="134" t="s">
        <v>24</v>
      </c>
      <c r="C146" s="135"/>
      <c r="D146" s="142">
        <v>424.6446614125752</v>
      </c>
      <c r="E146" s="145">
        <f>E181*E36</f>
        <v>35.966775956284145</v>
      </c>
      <c r="F146" s="145">
        <f>F181*F36</f>
        <v>33.646338797814209</v>
      </c>
      <c r="G146" s="145">
        <f t="shared" ref="G146:P146" si="242">G181*G36</f>
        <v>35.966775956284152</v>
      </c>
      <c r="H146" s="145">
        <f t="shared" si="242"/>
        <v>34.806557377049181</v>
      </c>
      <c r="I146" s="145">
        <f t="shared" si="242"/>
        <v>35.96677595628416</v>
      </c>
      <c r="J146" s="145">
        <f t="shared" si="242"/>
        <v>34.806557377049181</v>
      </c>
      <c r="K146" s="145">
        <f t="shared" si="242"/>
        <v>35.966775956284145</v>
      </c>
      <c r="L146" s="145">
        <f t="shared" si="242"/>
        <v>35.96677595628416</v>
      </c>
      <c r="M146" s="145">
        <f t="shared" si="242"/>
        <v>34.806557377049188</v>
      </c>
      <c r="N146" s="145">
        <f t="shared" si="242"/>
        <v>35.96677595628416</v>
      </c>
      <c r="O146" s="145">
        <f t="shared" si="242"/>
        <v>34.806557377049188</v>
      </c>
      <c r="P146" s="145">
        <f t="shared" si="242"/>
        <v>35.971437368859313</v>
      </c>
      <c r="Q146" s="165">
        <f>SUM(E146:P146)</f>
        <v>424.6446614125752</v>
      </c>
      <c r="R146" s="160">
        <f t="shared" si="213"/>
        <v>0</v>
      </c>
      <c r="S146" s="161"/>
      <c r="T146" s="253">
        <f t="shared" si="216"/>
        <v>211.15978142076503</v>
      </c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</row>
    <row r="147" spans="1:35" s="116" customFormat="1" ht="24" customHeight="1">
      <c r="A147" s="133"/>
      <c r="B147" s="134" t="s">
        <v>25</v>
      </c>
      <c r="C147" s="135"/>
      <c r="D147" s="142">
        <v>1374.9260000000002</v>
      </c>
      <c r="E147" s="145">
        <f t="shared" ref="E147" si="243">E182*E37</f>
        <v>77.637213114754104</v>
      </c>
      <c r="F147" s="145">
        <f>F182*F37</f>
        <v>72.628360655737708</v>
      </c>
      <c r="G147" s="145">
        <f t="shared" ref="G147:P147" si="244">G182*G37</f>
        <v>77.637213114754104</v>
      </c>
      <c r="H147" s="145">
        <f t="shared" si="244"/>
        <v>75.132786885245906</v>
      </c>
      <c r="I147" s="145">
        <f t="shared" si="244"/>
        <v>77.637213114754104</v>
      </c>
      <c r="J147" s="145">
        <f t="shared" si="244"/>
        <v>75.132786885245906</v>
      </c>
      <c r="K147" s="145">
        <f t="shared" si="244"/>
        <v>66.546182669789232</v>
      </c>
      <c r="L147" s="145">
        <f t="shared" si="244"/>
        <v>116.45581967213116</v>
      </c>
      <c r="M147" s="145">
        <f t="shared" si="244"/>
        <v>112.69918032786886</v>
      </c>
      <c r="N147" s="145">
        <f t="shared" si="244"/>
        <v>116.45581967213118</v>
      </c>
      <c r="O147" s="145">
        <f t="shared" si="244"/>
        <v>112.69918032786887</v>
      </c>
      <c r="P147" s="145">
        <f t="shared" si="244"/>
        <v>116.45181967213125</v>
      </c>
      <c r="Q147" s="165">
        <f>SUM(E147:P147)</f>
        <v>1097.1135761124124</v>
      </c>
      <c r="R147" s="160">
        <f t="shared" si="213"/>
        <v>277.81242388758778</v>
      </c>
      <c r="S147" s="161"/>
      <c r="T147" s="253">
        <f t="shared" si="216"/>
        <v>455.80557377049183</v>
      </c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</row>
    <row r="148" spans="1:35" s="116" customFormat="1" ht="24" customHeight="1">
      <c r="A148" s="129">
        <v>30</v>
      </c>
      <c r="B148" s="139" t="s">
        <v>69</v>
      </c>
      <c r="C148" s="158" t="s">
        <v>45</v>
      </c>
      <c r="D148" s="138">
        <f>D133/D33</f>
        <v>3.8036824793620467</v>
      </c>
      <c r="E148" s="138">
        <f>E133/E33</f>
        <v>3.1788077970168325</v>
      </c>
      <c r="F148" s="138">
        <f t="shared" ref="F148" si="245">F133/F33</f>
        <v>4.3663954953203294</v>
      </c>
      <c r="G148" s="138">
        <f t="shared" ref="G148:Q148" si="246">G133/G33</f>
        <v>3.3919394588260672</v>
      </c>
      <c r="H148" s="138">
        <f t="shared" si="246"/>
        <v>3.7128726523785707</v>
      </c>
      <c r="I148" s="138">
        <f t="shared" si="246"/>
        <v>3.3596822659356951</v>
      </c>
      <c r="J148" s="138">
        <f t="shared" si="246"/>
        <v>3.6574258929050925</v>
      </c>
      <c r="K148" s="138">
        <f t="shared" si="246"/>
        <v>4.5919601574562128</v>
      </c>
      <c r="L148" s="138">
        <f t="shared" si="246"/>
        <v>4.9227261779434093</v>
      </c>
      <c r="M148" s="138">
        <f t="shared" si="246"/>
        <v>3.5633113745338614</v>
      </c>
      <c r="N148" s="138">
        <f t="shared" si="246"/>
        <v>3.8879431614544813</v>
      </c>
      <c r="O148" s="138">
        <f t="shared" si="246"/>
        <v>3.24179413010497</v>
      </c>
      <c r="P148" s="138">
        <f t="shared" si="246"/>
        <v>3.4248013596151616</v>
      </c>
      <c r="Q148" s="138">
        <f t="shared" si="246"/>
        <v>3.7958768345931833</v>
      </c>
      <c r="R148" s="160">
        <f t="shared" si="213"/>
        <v>7.8056447688634734E-3</v>
      </c>
      <c r="S148" s="161"/>
      <c r="T148" s="258">
        <f>T133/T33</f>
        <v>3.6114081993770175</v>
      </c>
    </row>
    <row r="149" spans="1:35" s="116" customFormat="1" ht="24" customHeight="1">
      <c r="A149" s="133"/>
      <c r="B149" s="134" t="s">
        <v>22</v>
      </c>
      <c r="C149" s="172"/>
      <c r="D149" s="171">
        <v>3.8421149958402299</v>
      </c>
      <c r="E149" s="177">
        <v>3.2243824797291101</v>
      </c>
      <c r="F149" s="177">
        <v>4.4445925379830333</v>
      </c>
      <c r="G149" s="177">
        <v>3.4424618021948206</v>
      </c>
      <c r="H149" s="177">
        <v>3.7798420257895189</v>
      </c>
      <c r="I149" s="177">
        <v>3.4063907512558704</v>
      </c>
      <c r="J149" s="177">
        <v>3.7079249215487216</v>
      </c>
      <c r="K149" s="177">
        <v>4.6541225366220305</v>
      </c>
      <c r="L149" s="177">
        <v>4.9675070420312801</v>
      </c>
      <c r="M149" s="177">
        <v>3.5984700571864936</v>
      </c>
      <c r="N149" s="177">
        <v>3.9446643179825593</v>
      </c>
      <c r="O149" s="177">
        <v>3.2784176712096764</v>
      </c>
      <c r="P149" s="177">
        <v>3.5864038920063614</v>
      </c>
      <c r="Q149" s="177">
        <f>Q134/Q34</f>
        <v>3.8490011265429072</v>
      </c>
      <c r="R149" s="160">
        <f t="shared" si="213"/>
        <v>-6.8861307026772955E-3</v>
      </c>
      <c r="S149" s="161"/>
      <c r="T149" s="258">
        <f>T134/T34</f>
        <v>3.6661839400343239</v>
      </c>
    </row>
    <row r="150" spans="1:35" s="116" customFormat="1" ht="24" customHeight="1">
      <c r="A150" s="133"/>
      <c r="B150" s="134" t="s">
        <v>23</v>
      </c>
      <c r="C150" s="172"/>
      <c r="D150" s="171">
        <v>3.6716950504396997</v>
      </c>
      <c r="E150" s="177">
        <v>3.081362531929321</v>
      </c>
      <c r="F150" s="177">
        <v>4.2474492410044808</v>
      </c>
      <c r="G150" s="177">
        <v>3.289768779469413</v>
      </c>
      <c r="H150" s="177">
        <v>3.6121842455421538</v>
      </c>
      <c r="I150" s="177">
        <v>3.2552976875473623</v>
      </c>
      <c r="J150" s="177">
        <v>3.5434570793930971</v>
      </c>
      <c r="K150" s="177">
        <v>4.4476853765065094</v>
      </c>
      <c r="L150" s="177">
        <v>4.7471694728027991</v>
      </c>
      <c r="M150" s="177">
        <v>3.4388571691456296</v>
      </c>
      <c r="N150" s="177">
        <v>3.7696957190671587</v>
      </c>
      <c r="O150" s="177">
        <v>3.1330009512175381</v>
      </c>
      <c r="P150" s="177">
        <v>3.2771559567550184</v>
      </c>
      <c r="Q150" s="177">
        <f t="shared" ref="Q150" si="247">Q135/Q35</f>
        <v>3.6680898036912288</v>
      </c>
      <c r="R150" s="160">
        <f t="shared" si="213"/>
        <v>3.6052467484708473E-3</v>
      </c>
      <c r="S150" s="161"/>
      <c r="T150" s="258">
        <f t="shared" ref="T150:T152" si="248">T135/T35</f>
        <v>3.506779904750998</v>
      </c>
    </row>
    <row r="151" spans="1:35" s="116" customFormat="1" ht="24" customHeight="1">
      <c r="A151" s="133"/>
      <c r="B151" s="134" t="s">
        <v>24</v>
      </c>
      <c r="C151" s="172"/>
      <c r="D151" s="171">
        <v>3.6187706370806505</v>
      </c>
      <c r="E151" s="177">
        <v>3.0369472681046767</v>
      </c>
      <c r="F151" s="177">
        <v>4.1862258125158904</v>
      </c>
      <c r="G151" s="177">
        <v>3.2423495138853911</v>
      </c>
      <c r="H151" s="177">
        <v>3.5601176306643114</v>
      </c>
      <c r="I151" s="177">
        <v>3.2083752939237722</v>
      </c>
      <c r="J151" s="177">
        <v>3.4923811091358736</v>
      </c>
      <c r="K151" s="177">
        <v>4.3835757115905611</v>
      </c>
      <c r="L151" s="177">
        <v>4.6787429951098884</v>
      </c>
      <c r="M151" s="177">
        <v>3.3892889191133175</v>
      </c>
      <c r="N151" s="177">
        <v>3.7153587080319253</v>
      </c>
      <c r="O151" s="177">
        <v>3.0878413627662367</v>
      </c>
      <c r="P151" s="177">
        <v>3.0430903013724655</v>
      </c>
      <c r="Q151" s="177">
        <f t="shared" ref="Q151" si="249">Q136/Q36</f>
        <v>3.6187706370806505</v>
      </c>
      <c r="R151" s="160">
        <f t="shared" si="213"/>
        <v>0</v>
      </c>
      <c r="S151" s="161"/>
      <c r="T151" s="258">
        <f t="shared" si="248"/>
        <v>3.4547111601715224</v>
      </c>
    </row>
    <row r="152" spans="1:35" s="116" customFormat="1" ht="24" customHeight="1">
      <c r="A152" s="133"/>
      <c r="B152" s="134" t="s">
        <v>25</v>
      </c>
      <c r="C152" s="172"/>
      <c r="D152" s="171">
        <v>4.0933263907220097</v>
      </c>
      <c r="E152" s="177">
        <v>3.4352042852300086</v>
      </c>
      <c r="F152" s="177">
        <v>4.63519609679288</v>
      </c>
      <c r="G152" s="177">
        <v>3.6675424236996084</v>
      </c>
      <c r="H152" s="177">
        <v>3.9269817883315996</v>
      </c>
      <c r="I152" s="177">
        <v>3.629112916797983</v>
      </c>
      <c r="J152" s="177">
        <v>3.9503624833259301</v>
      </c>
      <c r="K152" s="177">
        <v>4.958425925677628</v>
      </c>
      <c r="L152" s="177">
        <v>5.2923006451547616</v>
      </c>
      <c r="M152" s="177">
        <v>3.8337510634772602</v>
      </c>
      <c r="N152" s="177">
        <v>4.1025807589880001</v>
      </c>
      <c r="O152" s="177">
        <v>3.4927724932494391</v>
      </c>
      <c r="P152" s="177">
        <v>3.6058524178558917</v>
      </c>
      <c r="Q152" s="177">
        <f t="shared" ref="Q152" si="250">Q137/Q37</f>
        <v>4.0900707007180577</v>
      </c>
      <c r="R152" s="160">
        <f t="shared" si="213"/>
        <v>3.2556900039519832E-3</v>
      </c>
      <c r="S152" s="161"/>
      <c r="T152" s="258">
        <f t="shared" si="248"/>
        <v>3.873254843261376</v>
      </c>
    </row>
    <row r="153" spans="1:35" s="116" customFormat="1" ht="24" customHeight="1">
      <c r="A153" s="129">
        <v>31</v>
      </c>
      <c r="B153" s="139" t="s">
        <v>70</v>
      </c>
      <c r="C153" s="178" t="s">
        <v>45</v>
      </c>
      <c r="D153" s="138">
        <f>D138/D33</f>
        <v>3.8036824793620467</v>
      </c>
      <c r="E153" s="138">
        <f>E138/E33</f>
        <v>3.1788077970168325</v>
      </c>
      <c r="F153" s="138">
        <f t="shared" ref="F153" si="251">F138/F33</f>
        <v>4.3663954953203294</v>
      </c>
      <c r="G153" s="138">
        <f t="shared" ref="G153:Q153" si="252">G138/G33</f>
        <v>3.3919394588260672</v>
      </c>
      <c r="H153" s="138">
        <f t="shared" si="252"/>
        <v>3.7128726523785707</v>
      </c>
      <c r="I153" s="138">
        <f t="shared" si="252"/>
        <v>3.3596822659356951</v>
      </c>
      <c r="J153" s="138">
        <f t="shared" si="252"/>
        <v>3.6574258929050925</v>
      </c>
      <c r="K153" s="138">
        <f t="shared" si="252"/>
        <v>4.5919601574562128</v>
      </c>
      <c r="L153" s="138">
        <f t="shared" si="252"/>
        <v>4.9227261779434093</v>
      </c>
      <c r="M153" s="138">
        <f t="shared" si="252"/>
        <v>3.5633113745338614</v>
      </c>
      <c r="N153" s="138">
        <f t="shared" si="252"/>
        <v>3.8879431614544813</v>
      </c>
      <c r="O153" s="138">
        <f t="shared" si="252"/>
        <v>3.24179413010497</v>
      </c>
      <c r="P153" s="138">
        <f t="shared" si="252"/>
        <v>3.4248013596151616</v>
      </c>
      <c r="Q153" s="138">
        <f t="shared" si="252"/>
        <v>3.7958768345931833</v>
      </c>
      <c r="R153" s="160">
        <f t="shared" si="213"/>
        <v>7.8056447688634734E-3</v>
      </c>
      <c r="S153" s="161"/>
      <c r="T153" s="258">
        <f>T138/T33</f>
        <v>3.6114081993770175</v>
      </c>
    </row>
    <row r="154" spans="1:35" s="116" customFormat="1" ht="24" customHeight="1">
      <c r="A154" s="133"/>
      <c r="B154" s="134" t="s">
        <v>22</v>
      </c>
      <c r="C154" s="234"/>
      <c r="D154" s="171">
        <v>3.8421149958402334</v>
      </c>
      <c r="E154" s="177">
        <v>3.2243824797291101</v>
      </c>
      <c r="F154" s="177">
        <v>4.4445925379830333</v>
      </c>
      <c r="G154" s="177">
        <v>3.4424618021948206</v>
      </c>
      <c r="H154" s="177">
        <v>3.7798420257895189</v>
      </c>
      <c r="I154" s="177">
        <v>3.4063907512558704</v>
      </c>
      <c r="J154" s="177">
        <v>3.7079249215487216</v>
      </c>
      <c r="K154" s="177">
        <v>4.6541225366220305</v>
      </c>
      <c r="L154" s="177">
        <v>4.9675070420312801</v>
      </c>
      <c r="M154" s="177">
        <v>3.5984700571864936</v>
      </c>
      <c r="N154" s="177">
        <v>3.9446643179825593</v>
      </c>
      <c r="O154" s="177">
        <v>3.2784176712096764</v>
      </c>
      <c r="P154" s="177">
        <v>3.5864038920063614</v>
      </c>
      <c r="Q154" s="177">
        <f>Q139/Q34</f>
        <v>3.8490011265429072</v>
      </c>
      <c r="R154" s="160">
        <f t="shared" si="213"/>
        <v>-6.8861307026737428E-3</v>
      </c>
      <c r="S154" s="161"/>
      <c r="T154" s="258">
        <f>T139/T34</f>
        <v>3.6661839400343239</v>
      </c>
    </row>
    <row r="155" spans="1:35" s="116" customFormat="1" ht="24" customHeight="1">
      <c r="A155" s="133"/>
      <c r="B155" s="134" t="s">
        <v>23</v>
      </c>
      <c r="C155" s="234"/>
      <c r="D155" s="171">
        <v>3.6716950504397015</v>
      </c>
      <c r="E155" s="177">
        <v>3.081362531929321</v>
      </c>
      <c r="F155" s="177">
        <v>4.2474492410044808</v>
      </c>
      <c r="G155" s="177">
        <v>3.289768779469413</v>
      </c>
      <c r="H155" s="177">
        <v>3.6121842455421538</v>
      </c>
      <c r="I155" s="177">
        <v>3.2552976875473623</v>
      </c>
      <c r="J155" s="177">
        <v>3.5434570793930971</v>
      </c>
      <c r="K155" s="177">
        <v>4.4476853765065094</v>
      </c>
      <c r="L155" s="177">
        <v>4.7471694728027991</v>
      </c>
      <c r="M155" s="177">
        <v>3.4388571691456296</v>
      </c>
      <c r="N155" s="177">
        <v>3.7696957190671587</v>
      </c>
      <c r="O155" s="177">
        <v>3.1330009512175381</v>
      </c>
      <c r="P155" s="177">
        <v>3.2771559567550184</v>
      </c>
      <c r="Q155" s="177">
        <f t="shared" ref="Q155" si="253">Q140/Q35</f>
        <v>3.6680898036912288</v>
      </c>
      <c r="R155" s="160">
        <f t="shared" si="213"/>
        <v>3.6052467484726236E-3</v>
      </c>
      <c r="S155" s="161"/>
      <c r="T155" s="258">
        <f t="shared" ref="T155:T157" si="254">T140/T35</f>
        <v>3.506779904750998</v>
      </c>
    </row>
    <row r="156" spans="1:35" s="116" customFormat="1" ht="24" customHeight="1">
      <c r="A156" s="133"/>
      <c r="B156" s="134" t="s">
        <v>24</v>
      </c>
      <c r="C156" s="234"/>
      <c r="D156" s="171">
        <v>3.6187706370806505</v>
      </c>
      <c r="E156" s="177">
        <v>3.0369472681046767</v>
      </c>
      <c r="F156" s="177">
        <v>4.1862258125158904</v>
      </c>
      <c r="G156" s="177">
        <v>3.2423495138853911</v>
      </c>
      <c r="H156" s="177">
        <v>3.5601176306643114</v>
      </c>
      <c r="I156" s="177">
        <v>3.2083752939237722</v>
      </c>
      <c r="J156" s="177">
        <v>3.4923811091358736</v>
      </c>
      <c r="K156" s="177">
        <v>4.3835757115905611</v>
      </c>
      <c r="L156" s="177">
        <v>4.6787429951098884</v>
      </c>
      <c r="M156" s="177">
        <v>3.3892889191133175</v>
      </c>
      <c r="N156" s="177">
        <v>3.7153587080319253</v>
      </c>
      <c r="O156" s="177">
        <v>3.0878413627662367</v>
      </c>
      <c r="P156" s="177">
        <v>3.0430903013724655</v>
      </c>
      <c r="Q156" s="177">
        <f t="shared" ref="Q156" si="255">Q141/Q36</f>
        <v>3.6187706370806505</v>
      </c>
      <c r="R156" s="160">
        <f t="shared" si="213"/>
        <v>0</v>
      </c>
      <c r="S156" s="161"/>
      <c r="T156" s="258">
        <f t="shared" si="254"/>
        <v>3.4547111601715224</v>
      </c>
    </row>
    <row r="157" spans="1:35" s="116" customFormat="1" ht="24" customHeight="1">
      <c r="A157" s="133"/>
      <c r="B157" s="134" t="s">
        <v>25</v>
      </c>
      <c r="C157" s="234"/>
      <c r="D157" s="171">
        <v>4.0933263907220079</v>
      </c>
      <c r="E157" s="177">
        <v>3.4352042852300086</v>
      </c>
      <c r="F157" s="177">
        <v>4.63519609679288</v>
      </c>
      <c r="G157" s="177">
        <v>3.6675424236996084</v>
      </c>
      <c r="H157" s="177">
        <v>3.9269817883315996</v>
      </c>
      <c r="I157" s="177">
        <v>3.629112916797983</v>
      </c>
      <c r="J157" s="177">
        <v>3.9503624833259301</v>
      </c>
      <c r="K157" s="177">
        <v>4.958425925677628</v>
      </c>
      <c r="L157" s="177">
        <v>5.2923006451547616</v>
      </c>
      <c r="M157" s="177">
        <v>3.8337510634772602</v>
      </c>
      <c r="N157" s="177">
        <v>4.1025807589880001</v>
      </c>
      <c r="O157" s="177">
        <v>3.4927724932494391</v>
      </c>
      <c r="P157" s="177">
        <v>3.6058524178558917</v>
      </c>
      <c r="Q157" s="177">
        <f t="shared" ref="Q157" si="256">Q142/Q37</f>
        <v>4.0900707007180577</v>
      </c>
      <c r="R157" s="160">
        <f t="shared" si="213"/>
        <v>3.2556900039502068E-3</v>
      </c>
      <c r="S157" s="161"/>
      <c r="T157" s="258">
        <f t="shared" si="254"/>
        <v>3.873254843261376</v>
      </c>
    </row>
    <row r="158" spans="1:35" s="116" customFormat="1" ht="53.1" customHeight="1">
      <c r="A158" s="129">
        <v>32</v>
      </c>
      <c r="B158" s="139" t="s">
        <v>71</v>
      </c>
      <c r="C158" s="147" t="s">
        <v>47</v>
      </c>
      <c r="D158" s="138">
        <f>D133/D88</f>
        <v>0.43832104385644977</v>
      </c>
      <c r="E158" s="138">
        <f>E133/E88</f>
        <v>0.36553321730373139</v>
      </c>
      <c r="F158" s="138">
        <f t="shared" ref="F158" si="257">F133/F88</f>
        <v>0.50213855252839212</v>
      </c>
      <c r="G158" s="138">
        <f t="shared" ref="G158:Q158" si="258">G133/G88</f>
        <v>0.39010668048580027</v>
      </c>
      <c r="H158" s="138">
        <f t="shared" si="258"/>
        <v>0.42586790960201398</v>
      </c>
      <c r="I158" s="138">
        <f t="shared" si="258"/>
        <v>0.38376569874804595</v>
      </c>
      <c r="J158" s="138">
        <f t="shared" si="258"/>
        <v>0.41652788937646978</v>
      </c>
      <c r="K158" s="138">
        <f t="shared" si="258"/>
        <v>0.52296566928742771</v>
      </c>
      <c r="L158" s="138">
        <f t="shared" si="258"/>
        <v>0.56872303422448789</v>
      </c>
      <c r="M158" s="138">
        <f t="shared" si="258"/>
        <v>0.41146551502118289</v>
      </c>
      <c r="N158" s="138">
        <f t="shared" si="258"/>
        <v>0.44706895259293677</v>
      </c>
      <c r="O158" s="138">
        <f t="shared" si="258"/>
        <v>0.37307467819943096</v>
      </c>
      <c r="P158" s="138">
        <f t="shared" si="258"/>
        <v>0.39410924507749029</v>
      </c>
      <c r="Q158" s="138">
        <f t="shared" si="258"/>
        <v>0.43593343908877086</v>
      </c>
      <c r="R158" s="160">
        <f t="shared" si="213"/>
        <v>2.3876047676789081E-3</v>
      </c>
      <c r="S158" s="161"/>
      <c r="T158" s="258">
        <f>T133/T88</f>
        <v>0.41402450026908622</v>
      </c>
    </row>
    <row r="159" spans="1:35" s="116" customFormat="1" ht="24" customHeight="1">
      <c r="A159" s="133"/>
      <c r="B159" s="134" t="s">
        <v>22</v>
      </c>
      <c r="C159" s="135"/>
      <c r="D159" s="171">
        <f>D134/D89</f>
        <v>0.38548488657583463</v>
      </c>
      <c r="E159" s="171">
        <f>E134/E89</f>
        <v>0.32350690070994725</v>
      </c>
      <c r="F159" s="171">
        <f t="shared" ref="F159" si="259">F134/F89</f>
        <v>0.44593231910944026</v>
      </c>
      <c r="G159" s="171">
        <f t="shared" ref="G159:Q159" si="260">G134/G89</f>
        <v>0.34538711069227362</v>
      </c>
      <c r="H159" s="171">
        <f t="shared" si="260"/>
        <v>0.37923695052427747</v>
      </c>
      <c r="I159" s="171">
        <f t="shared" si="260"/>
        <v>0.34176805061860938</v>
      </c>
      <c r="J159" s="171">
        <f t="shared" si="260"/>
        <v>0.37202140471132272</v>
      </c>
      <c r="K159" s="171">
        <f t="shared" si="260"/>
        <v>0.46695476321822837</v>
      </c>
      <c r="L159" s="171">
        <f t="shared" si="260"/>
        <v>0.49839707836316854</v>
      </c>
      <c r="M159" s="171">
        <f t="shared" si="260"/>
        <v>0.36103964179700887</v>
      </c>
      <c r="N159" s="171">
        <f t="shared" si="260"/>
        <v>0.39577380657361316</v>
      </c>
      <c r="O159" s="171">
        <f t="shared" si="260"/>
        <v>0.32892832866864746</v>
      </c>
      <c r="P159" s="171">
        <f t="shared" si="260"/>
        <v>0.35982902620614177</v>
      </c>
      <c r="Q159" s="171">
        <f t="shared" si="260"/>
        <v>0.38617578190711493</v>
      </c>
      <c r="R159" s="160">
        <f t="shared" si="213"/>
        <v>-6.9089533128030567E-4</v>
      </c>
      <c r="S159" s="161"/>
      <c r="T159" s="259">
        <f t="shared" ref="T159" si="261">T134/T89</f>
        <v>0.36783347240266906</v>
      </c>
    </row>
    <row r="160" spans="1:35" s="116" customFormat="1" ht="24" customHeight="1">
      <c r="A160" s="133"/>
      <c r="B160" s="134" t="s">
        <v>23</v>
      </c>
      <c r="C160" s="135"/>
      <c r="D160" s="171">
        <f t="shared" ref="D160:E160" si="262">D135/D90</f>
        <v>0.48991202272461309</v>
      </c>
      <c r="E160" s="171">
        <f t="shared" si="262"/>
        <v>0.41114431618839059</v>
      </c>
      <c r="F160" s="171">
        <f>F135/F90</f>
        <v>0.56673455188808075</v>
      </c>
      <c r="G160" s="171">
        <f t="shared" ref="G160:Q160" si="263">G135/G90</f>
        <v>0.43895183420887157</v>
      </c>
      <c r="H160" s="171">
        <f t="shared" si="263"/>
        <v>0.4819715324603589</v>
      </c>
      <c r="I160" s="171">
        <f t="shared" si="263"/>
        <v>0.43435237751732647</v>
      </c>
      <c r="J160" s="171">
        <f t="shared" si="263"/>
        <v>0.47280130875668219</v>
      </c>
      <c r="K160" s="171">
        <f t="shared" si="263"/>
        <v>0.59345193686116315</v>
      </c>
      <c r="L160" s="171">
        <f t="shared" si="263"/>
        <v>0.63341191648223705</v>
      </c>
      <c r="M160" s="171">
        <f t="shared" si="263"/>
        <v>0.4588446067696767</v>
      </c>
      <c r="N160" s="171">
        <f t="shared" si="263"/>
        <v>0.50298819194239519</v>
      </c>
      <c r="O160" s="171">
        <f t="shared" si="263"/>
        <v>0.41803439886036048</v>
      </c>
      <c r="P160" s="171">
        <f t="shared" si="263"/>
        <v>0.43726891299581061</v>
      </c>
      <c r="Q160" s="171">
        <f t="shared" si="263"/>
        <v>0.48943097685813974</v>
      </c>
      <c r="R160" s="160">
        <f t="shared" si="213"/>
        <v>4.8104586647335079E-4</v>
      </c>
      <c r="S160" s="161"/>
      <c r="T160" s="259">
        <f t="shared" ref="T160" si="264">T135/T90</f>
        <v>0.46790749579839114</v>
      </c>
    </row>
    <row r="161" spans="1:20" s="116" customFormat="1" ht="24" customHeight="1">
      <c r="A161" s="133"/>
      <c r="B161" s="134" t="s">
        <v>24</v>
      </c>
      <c r="C161" s="135"/>
      <c r="D161" s="171">
        <f t="shared" ref="D161:E161" si="265">D136/D91</f>
        <v>0.43212473878966307</v>
      </c>
      <c r="E161" s="171">
        <f t="shared" si="265"/>
        <v>0.36264803066005047</v>
      </c>
      <c r="F161" s="171">
        <f>F136/F91</f>
        <v>0.49988571179722935</v>
      </c>
      <c r="G161" s="171">
        <f t="shared" ref="G161:Q161" si="266">G136/G91</f>
        <v>0.3871755292794174</v>
      </c>
      <c r="H161" s="171">
        <f t="shared" si="266"/>
        <v>0.42512086437519175</v>
      </c>
      <c r="I161" s="171">
        <f t="shared" si="266"/>
        <v>0.38311859879146015</v>
      </c>
      <c r="J161" s="171">
        <f t="shared" si="266"/>
        <v>0.41703230900446242</v>
      </c>
      <c r="K161" s="171">
        <f t="shared" si="266"/>
        <v>0.52345166337038718</v>
      </c>
      <c r="L161" s="171">
        <f t="shared" si="266"/>
        <v>0.55869818714370389</v>
      </c>
      <c r="M161" s="171">
        <f t="shared" si="266"/>
        <v>0.40472186157563894</v>
      </c>
      <c r="N161" s="171">
        <f t="shared" si="266"/>
        <v>0.44365851617315816</v>
      </c>
      <c r="O161" s="171">
        <f t="shared" si="266"/>
        <v>0.36872539769077928</v>
      </c>
      <c r="P161" s="171">
        <f t="shared" si="266"/>
        <v>0.3633815827174865</v>
      </c>
      <c r="Q161" s="171">
        <f t="shared" si="266"/>
        <v>0.43212473878966312</v>
      </c>
      <c r="R161" s="160">
        <f t="shared" si="213"/>
        <v>0</v>
      </c>
      <c r="S161" s="161"/>
      <c r="T161" s="259">
        <f t="shared" ref="T161" si="267">T136/T91</f>
        <v>0.41253406402324078</v>
      </c>
    </row>
    <row r="162" spans="1:20" s="116" customFormat="1" ht="24" customHeight="1">
      <c r="A162" s="133"/>
      <c r="B162" s="134" t="s">
        <v>25</v>
      </c>
      <c r="C162" s="135"/>
      <c r="D162" s="171">
        <f t="shared" ref="D162:E162" si="268">D137/D92</f>
        <v>0.45166246316770159</v>
      </c>
      <c r="E162" s="171">
        <f t="shared" si="268"/>
        <v>0.37904449360989151</v>
      </c>
      <c r="F162" s="171">
        <f>F137/F92</f>
        <v>0.51145300582138864</v>
      </c>
      <c r="G162" s="171">
        <f t="shared" ref="G162:Q162" si="269">G137/G92</f>
        <v>0.40468095791599529</v>
      </c>
      <c r="H162" s="171">
        <f t="shared" si="269"/>
        <v>0.43330780349028142</v>
      </c>
      <c r="I162" s="171">
        <f t="shared" si="269"/>
        <v>0.4004406007861927</v>
      </c>
      <c r="J162" s="171">
        <f t="shared" si="269"/>
        <v>0.43588765695997983</v>
      </c>
      <c r="K162" s="171">
        <f t="shared" si="269"/>
        <v>0.54711856647989487</v>
      </c>
      <c r="L162" s="171">
        <f t="shared" si="269"/>
        <v>0.58395869692497016</v>
      </c>
      <c r="M162" s="171">
        <f t="shared" si="269"/>
        <v>0.42302061531831814</v>
      </c>
      <c r="N162" s="171">
        <f t="shared" si="269"/>
        <v>0.45268360108026878</v>
      </c>
      <c r="O162" s="171">
        <f t="shared" si="269"/>
        <v>0.38539663760044685</v>
      </c>
      <c r="P162" s="171">
        <f t="shared" si="269"/>
        <v>0.39787400989070287</v>
      </c>
      <c r="Q162" s="171">
        <f t="shared" si="269"/>
        <v>0.45130322649167481</v>
      </c>
      <c r="R162" s="160">
        <f t="shared" si="213"/>
        <v>3.5923667602677511E-4</v>
      </c>
      <c r="S162" s="161"/>
      <c r="T162" s="259">
        <f t="shared" ref="T162" si="270">T137/T92</f>
        <v>0.42737950898537813</v>
      </c>
    </row>
    <row r="163" spans="1:20" s="116" customFormat="1" ht="54">
      <c r="A163" s="129">
        <v>34</v>
      </c>
      <c r="B163" s="139" t="s">
        <v>72</v>
      </c>
      <c r="C163" s="147" t="s">
        <v>47</v>
      </c>
      <c r="D163" s="218">
        <f>D118/D98</f>
        <v>0.39855582207550072</v>
      </c>
      <c r="E163" s="218">
        <f>E118/E98</f>
        <v>0.33329603851843753</v>
      </c>
      <c r="F163" s="218">
        <f t="shared" ref="F163:P163" si="271">F118/F98</f>
        <v>0.45585748292106765</v>
      </c>
      <c r="G163" s="218">
        <f t="shared" si="271"/>
        <v>0.35548310745339667</v>
      </c>
      <c r="H163" s="218">
        <f t="shared" si="271"/>
        <v>0.38731356924917504</v>
      </c>
      <c r="I163" s="218">
        <f t="shared" si="271"/>
        <v>0.34992000203165535</v>
      </c>
      <c r="J163" s="218">
        <f t="shared" si="271"/>
        <v>0.37943411445688546</v>
      </c>
      <c r="K163" s="218">
        <f t="shared" si="271"/>
        <v>0.47437088842924319</v>
      </c>
      <c r="L163" s="218">
        <f t="shared" si="271"/>
        <v>0.51541638994055006</v>
      </c>
      <c r="M163" s="218">
        <f t="shared" si="271"/>
        <v>0.37426497436457334</v>
      </c>
      <c r="N163" s="218">
        <f t="shared" si="271"/>
        <v>0.40613027381046829</v>
      </c>
      <c r="O163" s="218">
        <f t="shared" si="271"/>
        <v>0.33973958040270896</v>
      </c>
      <c r="P163" s="218">
        <f t="shared" si="271"/>
        <v>0.35904167404874382</v>
      </c>
      <c r="Q163" s="218">
        <f>Q118/Q98</f>
        <v>0.39640678076960911</v>
      </c>
      <c r="R163" s="160">
        <f t="shared" si="213"/>
        <v>2.149041305891608E-3</v>
      </c>
      <c r="S163" s="161"/>
      <c r="T163" s="261">
        <f>T118/T98</f>
        <v>0.37691193578977522</v>
      </c>
    </row>
    <row r="164" spans="1:20" s="116" customFormat="1" ht="24" customHeight="1">
      <c r="A164" s="133"/>
      <c r="B164" s="134" t="s">
        <v>22</v>
      </c>
      <c r="C164" s="135"/>
      <c r="D164" s="218">
        <f t="shared" ref="D164:Q167" si="272">D119/D99</f>
        <v>0.35123806276818098</v>
      </c>
      <c r="E164" s="218">
        <f t="shared" si="272"/>
        <v>0.29569684947756358</v>
      </c>
      <c r="F164" s="218">
        <f t="shared" si="272"/>
        <v>0.40540043371552664</v>
      </c>
      <c r="G164" s="218">
        <f t="shared" si="272"/>
        <v>0.31534299627493451</v>
      </c>
      <c r="H164" s="218">
        <f t="shared" si="272"/>
        <v>0.34576848889481854</v>
      </c>
      <c r="I164" s="218">
        <f t="shared" si="272"/>
        <v>0.31254667862335017</v>
      </c>
      <c r="J164" s="218">
        <f t="shared" si="272"/>
        <v>0.3397433241580507</v>
      </c>
      <c r="K164" s="218">
        <f t="shared" si="272"/>
        <v>0.42441570009010593</v>
      </c>
      <c r="L164" s="218">
        <f t="shared" si="272"/>
        <v>0.45261588126102004</v>
      </c>
      <c r="M164" s="218">
        <f t="shared" si="272"/>
        <v>0.32922741269600181</v>
      </c>
      <c r="N164" s="218">
        <f t="shared" si="272"/>
        <v>0.36004799877588223</v>
      </c>
      <c r="O164" s="218">
        <f t="shared" si="272"/>
        <v>0.29988150764310623</v>
      </c>
      <c r="P164" s="218">
        <f t="shared" si="272"/>
        <v>0.32809486882865596</v>
      </c>
      <c r="Q164" s="218">
        <f t="shared" si="272"/>
        <v>0.35187313923592206</v>
      </c>
      <c r="R164" s="160">
        <f t="shared" si="213"/>
        <v>-6.3507646774108029E-4</v>
      </c>
      <c r="S164" s="161"/>
      <c r="T164" s="261">
        <f t="shared" ref="T164" si="273">T119/T99</f>
        <v>0.33562821961304529</v>
      </c>
    </row>
    <row r="165" spans="1:20" s="116" customFormat="1" ht="24" customHeight="1">
      <c r="A165" s="133"/>
      <c r="B165" s="134" t="s">
        <v>23</v>
      </c>
      <c r="C165" s="135"/>
      <c r="D165" s="218">
        <f t="shared" si="272"/>
        <v>0.44528841854909379</v>
      </c>
      <c r="E165" s="218">
        <f t="shared" si="272"/>
        <v>0.37487996686081609</v>
      </c>
      <c r="F165" s="218">
        <f t="shared" si="272"/>
        <v>0.51475427755996184</v>
      </c>
      <c r="G165" s="218">
        <f t="shared" si="272"/>
        <v>0.39991460226837067</v>
      </c>
      <c r="H165" s="218">
        <f t="shared" si="272"/>
        <v>0.43798042615378668</v>
      </c>
      <c r="I165" s="218">
        <f t="shared" si="272"/>
        <v>0.39542901060169094</v>
      </c>
      <c r="J165" s="218">
        <f t="shared" si="272"/>
        <v>0.43007186990586527</v>
      </c>
      <c r="K165" s="218">
        <f t="shared" si="272"/>
        <v>0.53826591370383348</v>
      </c>
      <c r="L165" s="218">
        <f t="shared" si="272"/>
        <v>0.57422016175617252</v>
      </c>
      <c r="M165" s="218">
        <f t="shared" si="272"/>
        <v>0.41708152213591471</v>
      </c>
      <c r="N165" s="218">
        <f t="shared" si="272"/>
        <v>0.45685135322210563</v>
      </c>
      <c r="O165" s="218">
        <f t="shared" si="272"/>
        <v>0.38024128152845871</v>
      </c>
      <c r="P165" s="218">
        <f t="shared" si="272"/>
        <v>0.39793123128263203</v>
      </c>
      <c r="Q165" s="218">
        <f t="shared" si="272"/>
        <v>0.44485659406855438</v>
      </c>
      <c r="R165" s="160">
        <f t="shared" ref="R165:R195" si="274">D165-Q165</f>
        <v>4.3182448053941114E-4</v>
      </c>
      <c r="S165" s="161"/>
      <c r="T165" s="261">
        <f t="shared" ref="T165" si="275">T120/T100</f>
        <v>0.42573321540271231</v>
      </c>
    </row>
    <row r="166" spans="1:20" s="116" customFormat="1" ht="24" customHeight="1">
      <c r="A166" s="133"/>
      <c r="B166" s="134" t="s">
        <v>24</v>
      </c>
      <c r="C166" s="135"/>
      <c r="D166" s="218">
        <f t="shared" si="272"/>
        <v>0.39099330844181224</v>
      </c>
      <c r="E166" s="218">
        <f t="shared" si="272"/>
        <v>0.32843649486955856</v>
      </c>
      <c r="F166" s="218">
        <f t="shared" si="272"/>
        <v>0.45132641227723747</v>
      </c>
      <c r="G166" s="218">
        <f t="shared" si="272"/>
        <v>0.35069821476203888</v>
      </c>
      <c r="H166" s="218">
        <f t="shared" si="272"/>
        <v>0.38444572044027986</v>
      </c>
      <c r="I166" s="218">
        <f t="shared" si="272"/>
        <v>0.3472268923953879</v>
      </c>
      <c r="J166" s="218">
        <f t="shared" si="272"/>
        <v>0.37775868914945959</v>
      </c>
      <c r="K166" s="218">
        <f t="shared" si="272"/>
        <v>0.47247698057145415</v>
      </c>
      <c r="L166" s="218">
        <f t="shared" si="272"/>
        <v>0.50405894089132097</v>
      </c>
      <c r="M166" s="218">
        <f t="shared" si="272"/>
        <v>0.36647460411727761</v>
      </c>
      <c r="N166" s="218">
        <f t="shared" si="272"/>
        <v>0.40136303420462011</v>
      </c>
      <c r="O166" s="218">
        <f t="shared" si="272"/>
        <v>0.33482276306166625</v>
      </c>
      <c r="P166" s="218">
        <f t="shared" si="272"/>
        <v>0.33041388295556262</v>
      </c>
      <c r="Q166" s="218">
        <f t="shared" si="272"/>
        <v>0.39099330844181218</v>
      </c>
      <c r="R166" s="160">
        <f t="shared" si="274"/>
        <v>0</v>
      </c>
      <c r="S166" s="161"/>
      <c r="T166" s="261">
        <f t="shared" ref="T166" si="276">T121/T101</f>
        <v>0.37333477338662086</v>
      </c>
    </row>
    <row r="167" spans="1:20" s="116" customFormat="1" ht="24" customHeight="1">
      <c r="A167" s="133"/>
      <c r="B167" s="134" t="s">
        <v>25</v>
      </c>
      <c r="C167" s="135"/>
      <c r="D167" s="218">
        <f t="shared" si="272"/>
        <v>0.41065419139898368</v>
      </c>
      <c r="E167" s="218">
        <f t="shared" si="272"/>
        <v>0.3454584246589828</v>
      </c>
      <c r="F167" s="218">
        <f t="shared" si="272"/>
        <v>0.4641874682501228</v>
      </c>
      <c r="G167" s="218">
        <f t="shared" si="272"/>
        <v>0.36889539100925528</v>
      </c>
      <c r="H167" s="218">
        <f t="shared" si="272"/>
        <v>0.39421180340721518</v>
      </c>
      <c r="I167" s="218">
        <f t="shared" si="272"/>
        <v>0.36533482095756958</v>
      </c>
      <c r="J167" s="218">
        <f t="shared" si="272"/>
        <v>0.39736747686419499</v>
      </c>
      <c r="K167" s="218">
        <f t="shared" si="272"/>
        <v>0.49551420461022322</v>
      </c>
      <c r="L167" s="218">
        <f t="shared" si="272"/>
        <v>0.52858131993964874</v>
      </c>
      <c r="M167" s="218">
        <f t="shared" si="272"/>
        <v>0.38461799886313508</v>
      </c>
      <c r="N167" s="218">
        <f t="shared" si="272"/>
        <v>0.41124302324158835</v>
      </c>
      <c r="O167" s="218">
        <f t="shared" si="272"/>
        <v>0.35162068077615038</v>
      </c>
      <c r="P167" s="218">
        <f t="shared" si="272"/>
        <v>0.3631256062437494</v>
      </c>
      <c r="Q167" s="218">
        <f t="shared" si="272"/>
        <v>0.41032019153326188</v>
      </c>
      <c r="R167" s="160">
        <f t="shared" si="274"/>
        <v>3.3399986572180129E-4</v>
      </c>
      <c r="S167" s="161"/>
      <c r="T167" s="261">
        <f t="shared" ref="T167" si="277">T122/T102</f>
        <v>0.3891412037011715</v>
      </c>
    </row>
    <row r="168" spans="1:20" s="116" customFormat="1" ht="38.1" hidden="1" customHeight="1">
      <c r="A168" s="129">
        <v>35</v>
      </c>
      <c r="B168" s="139" t="s">
        <v>73</v>
      </c>
      <c r="C168" s="140" t="s">
        <v>63</v>
      </c>
      <c r="D168" s="140">
        <f>D169+D170+D171+D172</f>
        <v>573738.70663461287</v>
      </c>
      <c r="E168" s="132">
        <f>SUM(E169:E172)</f>
        <v>36081.016835179857</v>
      </c>
      <c r="F168" s="132">
        <f t="shared" ref="F168" si="278">SUM(F169:F172)</f>
        <v>48744.940228111955</v>
      </c>
      <c r="G168" s="132">
        <f t="shared" ref="G168:Q168" si="279">SUM(G169:G172)</f>
        <v>37831.017764149947</v>
      </c>
      <c r="H168" s="132">
        <f t="shared" si="279"/>
        <v>41369.467127513046</v>
      </c>
      <c r="I168" s="132">
        <f t="shared" si="279"/>
        <v>36407.614803290657</v>
      </c>
      <c r="J168" s="132">
        <f t="shared" si="279"/>
        <v>38790.112840475325</v>
      </c>
      <c r="K168" s="132">
        <f t="shared" si="279"/>
        <v>57379.981264271824</v>
      </c>
      <c r="L168" s="132">
        <f t="shared" si="279"/>
        <v>68157.302702144632</v>
      </c>
      <c r="M168" s="132">
        <f t="shared" si="279"/>
        <v>45751.260568129022</v>
      </c>
      <c r="N168" s="132">
        <f t="shared" si="279"/>
        <v>52949.135953400684</v>
      </c>
      <c r="O168" s="132">
        <f t="shared" si="279"/>
        <v>41916.051685544044</v>
      </c>
      <c r="P168" s="132">
        <f t="shared" si="279"/>
        <v>41937.305499929978</v>
      </c>
      <c r="Q168" s="132">
        <f t="shared" si="279"/>
        <v>547315.20727214089</v>
      </c>
      <c r="R168" s="160">
        <f t="shared" si="274"/>
        <v>26423.499362471979</v>
      </c>
      <c r="S168" s="161"/>
      <c r="T168" s="262"/>
    </row>
    <row r="169" spans="1:20" s="116" customFormat="1" ht="24" hidden="1" customHeight="1">
      <c r="A169" s="133"/>
      <c r="B169" s="134" t="s">
        <v>22</v>
      </c>
      <c r="C169" s="135"/>
      <c r="D169" s="143">
        <f>D119*1.11</f>
        <v>188456.36377704149</v>
      </c>
      <c r="E169" s="143">
        <f>E119*1.11</f>
        <v>13019.440088652849</v>
      </c>
      <c r="F169" s="143">
        <f t="shared" ref="F169" si="280">F119*1.11</f>
        <v>17820.557588508615</v>
      </c>
      <c r="G169" s="143">
        <f t="shared" ref="G169:P169" si="281">G119*1.11</f>
        <v>13930.419306644641</v>
      </c>
      <c r="H169" s="143">
        <f t="shared" si="281"/>
        <v>15500.685154114608</v>
      </c>
      <c r="I169" s="143">
        <f t="shared" si="281"/>
        <v>14358.205334141012</v>
      </c>
      <c r="J169" s="143">
        <f t="shared" si="281"/>
        <v>15934.162029639203</v>
      </c>
      <c r="K169" s="143">
        <f t="shared" si="281"/>
        <v>23314.362932253141</v>
      </c>
      <c r="L169" s="143">
        <f t="shared" si="281"/>
        <v>20961.845347464012</v>
      </c>
      <c r="M169" s="143">
        <f t="shared" si="281"/>
        <v>14609.511828614328</v>
      </c>
      <c r="N169" s="143">
        <f t="shared" si="281"/>
        <v>17989.220533394746</v>
      </c>
      <c r="O169" s="143">
        <f t="shared" si="281"/>
        <v>14824.273959167043</v>
      </c>
      <c r="P169" s="143">
        <f t="shared" si="281"/>
        <v>15186.423320553187</v>
      </c>
      <c r="Q169" s="163">
        <f>SUM(E169:P169)</f>
        <v>197449.10742314739</v>
      </c>
      <c r="R169" s="160">
        <f t="shared" si="274"/>
        <v>-8992.7436461058969</v>
      </c>
      <c r="S169" s="161"/>
      <c r="T169" s="262"/>
    </row>
    <row r="170" spans="1:20" s="116" customFormat="1" ht="24" hidden="1" customHeight="1">
      <c r="A170" s="133"/>
      <c r="B170" s="134" t="s">
        <v>23</v>
      </c>
      <c r="C170" s="135"/>
      <c r="D170" s="143">
        <f t="shared" ref="D170:E170" si="282">D120*1.11</f>
        <v>217340.65862023429</v>
      </c>
      <c r="E170" s="143">
        <f t="shared" si="282"/>
        <v>13619.691053716751</v>
      </c>
      <c r="F170" s="143">
        <f t="shared" ref="F170" si="283">F120*1.11</f>
        <v>18670.966015803446</v>
      </c>
      <c r="G170" s="143">
        <f t="shared" ref="G170:P170" si="284">G120*1.11</f>
        <v>14577.341743744159</v>
      </c>
      <c r="H170" s="143">
        <f t="shared" si="284"/>
        <v>15429.807927002117</v>
      </c>
      <c r="I170" s="143">
        <f t="shared" si="284"/>
        <v>13200.836364952622</v>
      </c>
      <c r="J170" s="143">
        <f t="shared" si="284"/>
        <v>13869.707477730048</v>
      </c>
      <c r="K170" s="143">
        <f t="shared" si="284"/>
        <v>20331.89776653059</v>
      </c>
      <c r="L170" s="143">
        <f t="shared" si="284"/>
        <v>25933.351124129618</v>
      </c>
      <c r="M170" s="143">
        <f t="shared" si="284"/>
        <v>17669.85414276976</v>
      </c>
      <c r="N170" s="143">
        <f t="shared" si="284"/>
        <v>19976.095184904578</v>
      </c>
      <c r="O170" s="143">
        <f t="shared" si="284"/>
        <v>16450.067234567818</v>
      </c>
      <c r="P170" s="143">
        <f t="shared" si="284"/>
        <v>16186.997214161885</v>
      </c>
      <c r="Q170" s="163">
        <f t="shared" ref="Q170" si="285">SUM(E170:P170)</f>
        <v>205916.61325001335</v>
      </c>
      <c r="R170" s="160">
        <f t="shared" si="274"/>
        <v>11424.045370220934</v>
      </c>
      <c r="S170" s="161"/>
      <c r="T170" s="262"/>
    </row>
    <row r="171" spans="1:20" s="116" customFormat="1" ht="24" hidden="1" customHeight="1">
      <c r="A171" s="133"/>
      <c r="B171" s="134" t="s">
        <v>24</v>
      </c>
      <c r="C171" s="135"/>
      <c r="D171" s="143">
        <f t="shared" ref="D171:E171" si="286">D121*1.11</f>
        <v>48545.645094134554</v>
      </c>
      <c r="E171" s="143">
        <f t="shared" si="286"/>
        <v>3754.0698461942829</v>
      </c>
      <c r="F171" s="143">
        <f>F121*1.11</f>
        <v>4937.9078908711072</v>
      </c>
      <c r="G171" s="143">
        <f t="shared" ref="G171:P171" si="287">G121*1.11</f>
        <v>3706.7723817780411</v>
      </c>
      <c r="H171" s="143">
        <f t="shared" si="287"/>
        <v>4214.3104201299293</v>
      </c>
      <c r="I171" s="143">
        <f t="shared" si="287"/>
        <v>3517.5292280248614</v>
      </c>
      <c r="J171" s="143">
        <f t="shared" si="287"/>
        <v>3572.7632638886762</v>
      </c>
      <c r="K171" s="143">
        <f t="shared" si="287"/>
        <v>5470.1213698013989</v>
      </c>
      <c r="L171" s="143">
        <f t="shared" si="287"/>
        <v>5835.7627939338008</v>
      </c>
      <c r="M171" s="143">
        <f t="shared" si="287"/>
        <v>3695.4068792982657</v>
      </c>
      <c r="N171" s="143">
        <f t="shared" si="287"/>
        <v>4182.1170991569415</v>
      </c>
      <c r="O171" s="143">
        <f t="shared" si="287"/>
        <v>2917.7385653317642</v>
      </c>
      <c r="P171" s="143">
        <f t="shared" si="287"/>
        <v>2741.1453557254817</v>
      </c>
      <c r="Q171" s="163">
        <f>SUM(E171:P171)</f>
        <v>48545.645094134547</v>
      </c>
      <c r="R171" s="160">
        <f t="shared" si="274"/>
        <v>0</v>
      </c>
      <c r="S171" s="161"/>
      <c r="T171" s="262"/>
    </row>
    <row r="172" spans="1:20" s="116" customFormat="1" ht="24" hidden="1" customHeight="1">
      <c r="A172" s="133"/>
      <c r="B172" s="134" t="s">
        <v>25</v>
      </c>
      <c r="C172" s="135"/>
      <c r="D172" s="143">
        <f t="shared" ref="D172:E172" si="288">D122*1.11</f>
        <v>119396.03914320255</v>
      </c>
      <c r="E172" s="143">
        <f t="shared" si="288"/>
        <v>5687.8158466159739</v>
      </c>
      <c r="F172" s="143">
        <f>F122*1.11</f>
        <v>7315.5087329287844</v>
      </c>
      <c r="G172" s="143">
        <f t="shared" ref="G172:P172" si="289">G122*1.11</f>
        <v>5616.4843319831052</v>
      </c>
      <c r="H172" s="143">
        <f t="shared" si="289"/>
        <v>6224.6636262663887</v>
      </c>
      <c r="I172" s="143">
        <f t="shared" si="289"/>
        <v>5331.043876172158</v>
      </c>
      <c r="J172" s="143">
        <f t="shared" si="289"/>
        <v>5413.4800692173976</v>
      </c>
      <c r="K172" s="143">
        <f t="shared" si="289"/>
        <v>8263.599195686691</v>
      </c>
      <c r="L172" s="143">
        <f t="shared" si="289"/>
        <v>15426.343436617197</v>
      </c>
      <c r="M172" s="143">
        <f t="shared" si="289"/>
        <v>9776.4877174466692</v>
      </c>
      <c r="N172" s="143">
        <f t="shared" si="289"/>
        <v>10801.703135944415</v>
      </c>
      <c r="O172" s="143">
        <f t="shared" si="289"/>
        <v>7723.9719264774158</v>
      </c>
      <c r="P172" s="143">
        <f t="shared" si="289"/>
        <v>7822.739609489432</v>
      </c>
      <c r="Q172" s="163">
        <f>SUM(E172:P172)</f>
        <v>95403.841504845637</v>
      </c>
      <c r="R172" s="160">
        <f t="shared" si="274"/>
        <v>23992.197638356913</v>
      </c>
      <c r="S172" s="161"/>
      <c r="T172" s="262"/>
    </row>
    <row r="173" spans="1:20" s="116" customFormat="1" ht="24" hidden="1" customHeight="1">
      <c r="A173" s="129">
        <v>36</v>
      </c>
      <c r="B173" s="139" t="s">
        <v>74</v>
      </c>
      <c r="C173" s="138" t="s">
        <v>63</v>
      </c>
      <c r="D173" s="138">
        <f>D58*1.11</f>
        <v>4.2706304850088657</v>
      </c>
      <c r="E173" s="138">
        <f>E58*1.11</f>
        <v>3.5789937275319708</v>
      </c>
      <c r="F173" s="138">
        <f t="shared" ref="F173" si="290">F58*1.11</f>
        <v>4.8945371524504839</v>
      </c>
      <c r="G173" s="138">
        <f t="shared" ref="G173:Q173" si="291">G58*1.11</f>
        <v>3.8164293820654458</v>
      </c>
      <c r="H173" s="138">
        <f t="shared" si="291"/>
        <v>4.1695708247410197</v>
      </c>
      <c r="I173" s="138">
        <f t="shared" si="291"/>
        <v>3.7826241920450689</v>
      </c>
      <c r="J173" s="138">
        <f t="shared" si="291"/>
        <v>4.1139228841034967</v>
      </c>
      <c r="K173" s="138">
        <f t="shared" si="291"/>
        <v>5.1432902375993024</v>
      </c>
      <c r="L173" s="138">
        <f t="shared" si="291"/>
        <v>5.5088716632782821</v>
      </c>
      <c r="M173" s="138">
        <f t="shared" si="291"/>
        <v>4.0020346893044989</v>
      </c>
      <c r="N173" s="138">
        <f t="shared" si="291"/>
        <v>4.3611122420683843</v>
      </c>
      <c r="O173" s="138">
        <f t="shared" si="291"/>
        <v>3.6448740596125258</v>
      </c>
      <c r="P173" s="138">
        <f t="shared" si="291"/>
        <v>3.8522692554584217</v>
      </c>
      <c r="Q173" s="138">
        <f t="shared" si="291"/>
        <v>4.262018356385826</v>
      </c>
      <c r="R173" s="160">
        <f t="shared" si="274"/>
        <v>8.6121286230396166E-3</v>
      </c>
      <c r="S173" s="161"/>
      <c r="T173" s="262"/>
    </row>
    <row r="174" spans="1:20" s="116" customFormat="1" ht="24" hidden="1" customHeight="1">
      <c r="A174" s="133"/>
      <c r="B174" s="134" t="s">
        <v>22</v>
      </c>
      <c r="C174" s="135"/>
      <c r="D174" s="171">
        <f t="shared" ref="D174" si="292">D59*1.11</f>
        <v>4.324129266954432</v>
      </c>
      <c r="E174" s="171">
        <f>E59*1.11</f>
        <v>3.6403554640262805</v>
      </c>
      <c r="F174" s="171">
        <f t="shared" ref="F174" si="293">F59*1.11</f>
        <v>4.9909279946755731</v>
      </c>
      <c r="G174" s="171">
        <f t="shared" ref="G174:Q174" si="294">G59*1.11</f>
        <v>3.8822212734430228</v>
      </c>
      <c r="H174" s="171">
        <f t="shared" si="294"/>
        <v>4.256792759409735</v>
      </c>
      <c r="I174" s="171">
        <f t="shared" si="294"/>
        <v>3.8477955084743281</v>
      </c>
      <c r="J174" s="171">
        <f t="shared" si="294"/>
        <v>4.1826163134655054</v>
      </c>
      <c r="K174" s="171">
        <f t="shared" si="294"/>
        <v>5.2250269678939789</v>
      </c>
      <c r="L174" s="171">
        <f t="shared" si="294"/>
        <v>5.5722024071773024</v>
      </c>
      <c r="M174" s="171">
        <f t="shared" si="294"/>
        <v>4.0531538054349943</v>
      </c>
      <c r="N174" s="171">
        <f t="shared" si="294"/>
        <v>4.4325893291431955</v>
      </c>
      <c r="O174" s="171">
        <f t="shared" si="294"/>
        <v>3.6918732371947471</v>
      </c>
      <c r="P174" s="171">
        <f t="shared" si="294"/>
        <v>4.0392109370445253</v>
      </c>
      <c r="Q174" s="171">
        <f t="shared" si="294"/>
        <v>4.3319477611098538</v>
      </c>
      <c r="R174" s="160">
        <f t="shared" si="274"/>
        <v>-7.8184941554217957E-3</v>
      </c>
      <c r="S174" s="161"/>
      <c r="T174" s="262"/>
    </row>
    <row r="175" spans="1:20" s="116" customFormat="1" ht="24" hidden="1" customHeight="1">
      <c r="A175" s="133"/>
      <c r="B175" s="134" t="s">
        <v>23</v>
      </c>
      <c r="C175" s="135"/>
      <c r="D175" s="171">
        <f t="shared" ref="D175:E175" si="295">D60*1.11</f>
        <v>4.1122115059880677</v>
      </c>
      <c r="E175" s="171">
        <f t="shared" si="295"/>
        <v>3.4619937300693819</v>
      </c>
      <c r="F175" s="171">
        <f>F60*1.11</f>
        <v>4.7537244957680658</v>
      </c>
      <c r="G175" s="171">
        <f t="shared" ref="G175:Q175" si="296">G60*1.11</f>
        <v>3.6931870678763747</v>
      </c>
      <c r="H175" s="171">
        <f t="shared" si="296"/>
        <v>4.044722639981682</v>
      </c>
      <c r="I175" s="171">
        <f t="shared" si="296"/>
        <v>3.6517629012138166</v>
      </c>
      <c r="J175" s="171">
        <f t="shared" si="296"/>
        <v>3.9716876032645274</v>
      </c>
      <c r="K175" s="171">
        <f t="shared" si="296"/>
        <v>4.9708530278562506</v>
      </c>
      <c r="L175" s="171">
        <f t="shared" si="296"/>
        <v>5.3028883253646146</v>
      </c>
      <c r="M175" s="171">
        <f t="shared" si="296"/>
        <v>3.8517225304237939</v>
      </c>
      <c r="N175" s="171">
        <f t="shared" si="296"/>
        <v>4.2189945055555835</v>
      </c>
      <c r="O175" s="171">
        <f t="shared" si="296"/>
        <v>3.5115051454691777</v>
      </c>
      <c r="P175" s="171">
        <f t="shared" si="296"/>
        <v>3.6748707572596007</v>
      </c>
      <c r="Q175" s="171">
        <f t="shared" si="296"/>
        <v>4.1082236331320257</v>
      </c>
      <c r="R175" s="160">
        <f t="shared" si="274"/>
        <v>3.987872856042074E-3</v>
      </c>
      <c r="S175" s="161"/>
      <c r="T175" s="262"/>
    </row>
    <row r="176" spans="1:20" s="116" customFormat="1" ht="24" hidden="1" customHeight="1">
      <c r="A176" s="133"/>
      <c r="B176" s="134" t="s">
        <v>24</v>
      </c>
      <c r="C176" s="135"/>
      <c r="D176" s="171">
        <f t="shared" ref="D176:E176" si="297">D61*1.11</f>
        <v>4.056219405936945</v>
      </c>
      <c r="E176" s="171">
        <f t="shared" si="297"/>
        <v>3.407246250369202</v>
      </c>
      <c r="F176" s="171">
        <f>F61*1.11</f>
        <v>4.682123484891485</v>
      </c>
      <c r="G176" s="171">
        <f t="shared" ref="G176:Q176" si="298">G61*1.11</f>
        <v>3.6381924540197681</v>
      </c>
      <c r="H176" s="171">
        <f t="shared" si="298"/>
        <v>3.9882938099216685</v>
      </c>
      <c r="I176" s="171">
        <f t="shared" si="298"/>
        <v>3.602180469047477</v>
      </c>
      <c r="J176" s="171">
        <f t="shared" si="298"/>
        <v>3.9189216096709072</v>
      </c>
      <c r="K176" s="171">
        <f t="shared" si="298"/>
        <v>4.9015424460586008</v>
      </c>
      <c r="L176" s="171">
        <f t="shared" si="298"/>
        <v>5.2291781307650549</v>
      </c>
      <c r="M176" s="171">
        <f t="shared" si="298"/>
        <v>3.8018589293192036</v>
      </c>
      <c r="N176" s="171">
        <f t="shared" si="298"/>
        <v>4.1637963950188581</v>
      </c>
      <c r="O176" s="171">
        <f t="shared" si="298"/>
        <v>3.4734982920616235</v>
      </c>
      <c r="P176" s="171">
        <f t="shared" si="298"/>
        <v>3.4277599516381114</v>
      </c>
      <c r="Q176" s="171">
        <f t="shared" si="298"/>
        <v>4.056219405936945</v>
      </c>
      <c r="R176" s="160">
        <f t="shared" si="274"/>
        <v>0</v>
      </c>
      <c r="S176" s="161"/>
      <c r="T176" s="262"/>
    </row>
    <row r="177" spans="1:20" s="116" customFormat="1" ht="24" hidden="1" customHeight="1">
      <c r="A177" s="133"/>
      <c r="B177" s="134" t="s">
        <v>25</v>
      </c>
      <c r="C177" s="135"/>
      <c r="D177" s="171">
        <f t="shared" ref="D177:E177" si="299">D62*1.11</f>
        <v>4.602422293701431</v>
      </c>
      <c r="E177" s="171">
        <f t="shared" si="299"/>
        <v>3.8717382861258041</v>
      </c>
      <c r="F177" s="171">
        <f>F62*1.11</f>
        <v>5.2023985072528296</v>
      </c>
      <c r="G177" s="171">
        <f t="shared" ref="G177:Q177" si="300">G62*1.11</f>
        <v>4.1344089678976195</v>
      </c>
      <c r="H177" s="171">
        <f t="shared" si="300"/>
        <v>4.418143611929791</v>
      </c>
      <c r="I177" s="171">
        <f t="shared" si="300"/>
        <v>4.0945037451399067</v>
      </c>
      <c r="J177" s="171">
        <f t="shared" si="300"/>
        <v>4.4535109408752644</v>
      </c>
      <c r="K177" s="171">
        <f t="shared" si="300"/>
        <v>5.5534940831227768</v>
      </c>
      <c r="L177" s="171">
        <f t="shared" si="300"/>
        <v>5.9240950217423949</v>
      </c>
      <c r="M177" s="171">
        <f t="shared" si="300"/>
        <v>4.3106206867048806</v>
      </c>
      <c r="N177" s="171">
        <f t="shared" si="300"/>
        <v>4.6090216487218019</v>
      </c>
      <c r="O177" s="171">
        <f t="shared" si="300"/>
        <v>3.9408020033048032</v>
      </c>
      <c r="P177" s="171">
        <f t="shared" si="300"/>
        <v>4.069743888152157</v>
      </c>
      <c r="Q177" s="171">
        <f t="shared" si="300"/>
        <v>4.5986789776455197</v>
      </c>
      <c r="R177" s="160">
        <f t="shared" si="274"/>
        <v>3.7433160559112721E-3</v>
      </c>
      <c r="S177" s="161"/>
      <c r="T177" s="262"/>
    </row>
    <row r="178" spans="1:20" s="116" customFormat="1" ht="24" customHeight="1">
      <c r="A178" s="129">
        <v>37</v>
      </c>
      <c r="B178" s="179" t="s">
        <v>75</v>
      </c>
      <c r="C178" s="138" t="s">
        <v>63</v>
      </c>
      <c r="D178" s="138">
        <f>D143/D33</f>
        <v>4.37323719972917E-2</v>
      </c>
      <c r="E178" s="138">
        <f>E143/E33</f>
        <v>4.5510876435393595E-2</v>
      </c>
      <c r="F178" s="138">
        <f t="shared" ref="F178" si="301">F143/F33</f>
        <v>4.3097434815240539E-2</v>
      </c>
      <c r="G178" s="138">
        <f t="shared" ref="G178" si="302">G143/G33</f>
        <v>4.6285209701361373E-2</v>
      </c>
      <c r="H178" s="138">
        <f t="shared" ref="H178:Q178" si="303">H143/H33</f>
        <v>4.3497460000726122E-2</v>
      </c>
      <c r="I178" s="138">
        <f t="shared" si="303"/>
        <v>4.8087276447250311E-2</v>
      </c>
      <c r="J178" s="138">
        <f t="shared" si="303"/>
        <v>4.8810939620579759E-2</v>
      </c>
      <c r="K178" s="138">
        <f t="shared" si="303"/>
        <v>4.1634651191805691E-2</v>
      </c>
      <c r="L178" s="138">
        <f t="shared" si="303"/>
        <v>4.0221266451438482E-2</v>
      </c>
      <c r="M178" s="138">
        <f t="shared" si="303"/>
        <v>4.2125282497218045E-2</v>
      </c>
      <c r="N178" s="138">
        <f t="shared" si="303"/>
        <v>4.0986786354874585E-2</v>
      </c>
      <c r="O178" s="138">
        <f t="shared" si="303"/>
        <v>4.1876193870277974E-2</v>
      </c>
      <c r="P178" s="138">
        <f t="shared" si="303"/>
        <v>4.5711483140173828E-2</v>
      </c>
      <c r="Q178" s="138">
        <f t="shared" si="303"/>
        <v>4.3779342330983531E-2</v>
      </c>
      <c r="R178" s="160">
        <f t="shared" si="274"/>
        <v>-4.6970333691831456E-5</v>
      </c>
      <c r="S178" s="161"/>
      <c r="T178" s="258">
        <f t="shared" ref="T178" si="304">T143/T33</f>
        <v>4.5843099543225081E-2</v>
      </c>
    </row>
    <row r="179" spans="1:20" s="116" customFormat="1" ht="24" customHeight="1">
      <c r="A179" s="133"/>
      <c r="B179" s="134" t="s">
        <v>22</v>
      </c>
      <c r="C179" s="172">
        <v>5.3496956370974104E-2</v>
      </c>
      <c r="D179" s="172">
        <v>5.3496956370974097E-2</v>
      </c>
      <c r="E179" s="149">
        <v>5.5217037411682907E-2</v>
      </c>
      <c r="F179" s="149">
        <v>5.1738988751717375E-2</v>
      </c>
      <c r="G179" s="149">
        <v>5.5034840546641192E-2</v>
      </c>
      <c r="H179" s="149">
        <v>5.5106406111142626E-2</v>
      </c>
      <c r="I179" s="149">
        <v>6.0091688811091719E-2</v>
      </c>
      <c r="J179" s="149">
        <v>6.0197883375156754E-2</v>
      </c>
      <c r="K179" s="149">
        <v>5.3108965985157713E-2</v>
      </c>
      <c r="L179" s="149">
        <v>5.2495126596920336E-2</v>
      </c>
      <c r="M179" s="149">
        <v>5.3019857619807195E-2</v>
      </c>
      <c r="N179" s="149">
        <v>4.8659401966265212E-2</v>
      </c>
      <c r="O179" s="149">
        <v>4.7594254190996277E-2</v>
      </c>
      <c r="P179" s="149">
        <v>5.2524880105823193E-2</v>
      </c>
      <c r="Q179" s="149">
        <f>Q144/Q34</f>
        <v>5.3654514096601144E-2</v>
      </c>
      <c r="R179" s="232">
        <f>D179-Q179</f>
        <v>-1.5755772562704717E-4</v>
      </c>
      <c r="S179" s="161"/>
      <c r="T179" s="251">
        <f>T144/T34</f>
        <v>5.6297881894207071E-2</v>
      </c>
    </row>
    <row r="180" spans="1:20" s="116" customFormat="1" ht="24" customHeight="1">
      <c r="A180" s="133"/>
      <c r="B180" s="134" t="s">
        <v>23</v>
      </c>
      <c r="C180" s="172">
        <v>3.3000000000000002E-2</v>
      </c>
      <c r="D180" s="172">
        <v>3.3000000000000002E-2</v>
      </c>
      <c r="E180" s="149">
        <v>3.7550738403455283E-2</v>
      </c>
      <c r="F180" s="149">
        <v>3.5185439867649833E-2</v>
      </c>
      <c r="G180" s="149">
        <v>3.7426777175969456E-2</v>
      </c>
      <c r="H180" s="149">
        <v>3.1710024711613001E-2</v>
      </c>
      <c r="I180" s="149">
        <v>3.4578800032652478E-2</v>
      </c>
      <c r="J180" s="149">
        <v>3.4639860484855164E-2</v>
      </c>
      <c r="K180" s="149">
        <v>3.0560594535157387E-2</v>
      </c>
      <c r="L180" s="149">
        <v>3.0207396895051402E-2</v>
      </c>
      <c r="M180" s="149">
        <v>3.1163128533463841E-2</v>
      </c>
      <c r="N180" s="149">
        <v>3.1200231883817115E-2</v>
      </c>
      <c r="O180" s="149">
        <v>3.0517197853793063E-2</v>
      </c>
      <c r="P180" s="149">
        <v>3.3538419154531533E-2</v>
      </c>
      <c r="Q180" s="149">
        <f t="shared" ref="Q180" si="305">Q145/Q35</f>
        <v>3.3012568499783831E-2</v>
      </c>
      <c r="R180" s="160">
        <f t="shared" si="274"/>
        <v>-1.2568499783829901E-5</v>
      </c>
      <c r="S180" s="161"/>
      <c r="T180" s="251">
        <f t="shared" ref="T180:T182" si="306">T145/T35</f>
        <v>3.5220448748688293E-2</v>
      </c>
    </row>
    <row r="181" spans="1:20" s="116" customFormat="1" ht="24" customHeight="1">
      <c r="A181" s="133"/>
      <c r="B181" s="134" t="s">
        <v>24</v>
      </c>
      <c r="C181" s="172">
        <v>3.5481079979660698E-2</v>
      </c>
      <c r="D181" s="172">
        <v>3.5481079979660698E-2</v>
      </c>
      <c r="E181" s="149">
        <v>3.2643948444153741E-2</v>
      </c>
      <c r="F181" s="149">
        <v>3.1903453152114208E-2</v>
      </c>
      <c r="G181" s="149">
        <v>3.5301345591877267E-2</v>
      </c>
      <c r="H181" s="149">
        <v>3.2939855751605684E-2</v>
      </c>
      <c r="I181" s="149">
        <v>3.6832335848729296E-2</v>
      </c>
      <c r="J181" s="149">
        <v>3.8178899576655129E-2</v>
      </c>
      <c r="K181" s="149">
        <v>3.2228293867638126E-2</v>
      </c>
      <c r="L181" s="149">
        <v>3.2228293867638133E-2</v>
      </c>
      <c r="M181" s="149">
        <v>3.5809215408486812E-2</v>
      </c>
      <c r="N181" s="149">
        <v>3.5809215408486812E-2</v>
      </c>
      <c r="O181" s="149">
        <v>4.1436377829820459E-2</v>
      </c>
      <c r="P181" s="149">
        <v>4.4981727130337143E-2</v>
      </c>
      <c r="Q181" s="149">
        <f t="shared" ref="Q181" si="307">Q146/Q36</f>
        <v>3.5481079979660698E-2</v>
      </c>
      <c r="R181" s="160">
        <f t="shared" si="274"/>
        <v>0</v>
      </c>
      <c r="S181" s="161"/>
      <c r="T181" s="251">
        <f t="shared" si="306"/>
        <v>3.4502612113305971E-2</v>
      </c>
    </row>
    <row r="182" spans="1:20" s="116" customFormat="1" ht="24" customHeight="1">
      <c r="A182" s="133"/>
      <c r="B182" s="134" t="s">
        <v>25</v>
      </c>
      <c r="C182" s="172">
        <v>5.2999999999999999E-2</v>
      </c>
      <c r="D182" s="172">
        <v>5.2999999999999999E-2</v>
      </c>
      <c r="E182" s="149">
        <v>5.2848224793237919E-2</v>
      </c>
      <c r="F182" s="149">
        <v>5.1649405236696373E-2</v>
      </c>
      <c r="G182" s="149">
        <v>5.7150340172120249E-2</v>
      </c>
      <c r="H182" s="149">
        <v>5.332777196550887E-2</v>
      </c>
      <c r="I182" s="149">
        <v>5.9629195940671356E-2</v>
      </c>
      <c r="J182" s="149">
        <v>6.1809535480614512E-2</v>
      </c>
      <c r="K182" s="149">
        <v>4.4721896955503514E-2</v>
      </c>
      <c r="L182" s="149">
        <v>4.4721896955503514E-2</v>
      </c>
      <c r="M182" s="149">
        <v>4.9690996617226126E-2</v>
      </c>
      <c r="N182" s="149">
        <v>4.9690996617226132E-2</v>
      </c>
      <c r="O182" s="149">
        <v>5.7499581799933093E-2</v>
      </c>
      <c r="P182" s="149">
        <v>6.0583517416321786E-2</v>
      </c>
      <c r="Q182" s="149">
        <f t="shared" ref="Q182" si="308">Q147/Q37</f>
        <v>5.2883333196823042E-2</v>
      </c>
      <c r="R182" s="160">
        <f t="shared" si="274"/>
        <v>1.1666680317695688E-4</v>
      </c>
      <c r="S182" s="161"/>
      <c r="T182" s="251">
        <f t="shared" si="306"/>
        <v>5.5857476587918509E-2</v>
      </c>
    </row>
    <row r="183" spans="1:20" s="116" customFormat="1" ht="24" customHeight="1">
      <c r="A183" s="129">
        <v>38</v>
      </c>
      <c r="B183" s="139" t="s">
        <v>76</v>
      </c>
      <c r="C183" s="140" t="s">
        <v>77</v>
      </c>
      <c r="D183" s="138">
        <f>D133/D23</f>
        <v>488.87660593335931</v>
      </c>
      <c r="E183" s="138">
        <f>E133/E23</f>
        <v>411.26254426624683</v>
      </c>
      <c r="F183" s="138">
        <f t="shared" ref="F183" si="309">F133/F23</f>
        <v>565.33781833460716</v>
      </c>
      <c r="G183" s="138">
        <f t="shared" ref="G183:Q183" si="310">G133/G23</f>
        <v>439.47703232884106</v>
      </c>
      <c r="H183" s="138">
        <f t="shared" si="310"/>
        <v>480.74591611812582</v>
      </c>
      <c r="I183" s="138">
        <f t="shared" si="310"/>
        <v>435.63786930526692</v>
      </c>
      <c r="J183" s="138">
        <f t="shared" si="310"/>
        <v>474.85782972290468</v>
      </c>
      <c r="K183" s="138">
        <f t="shared" si="310"/>
        <v>595.7399825920844</v>
      </c>
      <c r="L183" s="138">
        <f t="shared" si="310"/>
        <v>630.95879145983452</v>
      </c>
      <c r="M183" s="138">
        <f t="shared" si="310"/>
        <v>457.61235809645979</v>
      </c>
      <c r="N183" s="138">
        <f t="shared" si="310"/>
        <v>499.87477872730477</v>
      </c>
      <c r="O183" s="138">
        <f t="shared" si="310"/>
        <v>418.28033797770468</v>
      </c>
      <c r="P183" s="138">
        <f t="shared" si="310"/>
        <v>441.49001033557204</v>
      </c>
      <c r="Q183" s="138">
        <f t="shared" si="310"/>
        <v>490.21112812627183</v>
      </c>
      <c r="R183" s="160">
        <f t="shared" si="274"/>
        <v>-1.3345221929125159</v>
      </c>
      <c r="S183" s="161"/>
      <c r="T183" s="258">
        <f>T133/T23</f>
        <v>467.90392423461009</v>
      </c>
    </row>
    <row r="184" spans="1:20" s="116" customFormat="1" ht="13.5">
      <c r="A184" s="133"/>
      <c r="B184" s="134" t="s">
        <v>22</v>
      </c>
      <c r="C184" s="135"/>
      <c r="D184" s="138">
        <f t="shared" ref="D184:D187" si="311">D134/D24</f>
        <v>515.05411252569741</v>
      </c>
      <c r="E184" s="142">
        <f>E134/E24</f>
        <v>432.24407867497968</v>
      </c>
      <c r="F184" s="142">
        <f t="shared" ref="F184" si="312">F134/F24</f>
        <v>595.81914327594518</v>
      </c>
      <c r="G184" s="142">
        <f t="shared" ref="G184:P184" si="313">G134/G24</f>
        <v>461.47866744038396</v>
      </c>
      <c r="H184" s="142">
        <f t="shared" si="313"/>
        <v>506.7061194649653</v>
      </c>
      <c r="I184" s="142">
        <f>I134/I24</f>
        <v>456.64316846407934</v>
      </c>
      <c r="J184" s="142">
        <f t="shared" si="313"/>
        <v>497.06528353468588</v>
      </c>
      <c r="K184" s="142">
        <f t="shared" si="313"/>
        <v>623.90765380032053</v>
      </c>
      <c r="L184" s="142">
        <f t="shared" si="313"/>
        <v>665.9183636535189</v>
      </c>
      <c r="M184" s="142">
        <f t="shared" si="313"/>
        <v>482.39232916274642</v>
      </c>
      <c r="N184" s="142">
        <f t="shared" si="313"/>
        <v>528.80134553754476</v>
      </c>
      <c r="O184" s="142">
        <f t="shared" si="313"/>
        <v>439.48775764432639</v>
      </c>
      <c r="P184" s="142">
        <f t="shared" si="313"/>
        <v>480.77480131540966</v>
      </c>
      <c r="Q184" s="142">
        <f>Q134/Q24</f>
        <v>515.97723167794629</v>
      </c>
      <c r="R184" s="160">
        <f t="shared" si="274"/>
        <v>-0.92311915224888708</v>
      </c>
      <c r="S184" s="161"/>
      <c r="T184" s="252">
        <f>T134/T24</f>
        <v>491.46970292006966</v>
      </c>
    </row>
    <row r="185" spans="1:20" s="116" customFormat="1" ht="13.5">
      <c r="A185" s="133"/>
      <c r="B185" s="134" t="s">
        <v>23</v>
      </c>
      <c r="C185" s="135"/>
      <c r="D185" s="138">
        <f t="shared" si="311"/>
        <v>482.2573503309842</v>
      </c>
      <c r="E185" s="142">
        <f t="shared" ref="E185" si="314">E135/E25</f>
        <v>404.720356577394</v>
      </c>
      <c r="F185" s="142">
        <f>F135/F25</f>
        <v>557.87955930241878</v>
      </c>
      <c r="G185" s="142">
        <f t="shared" ref="G185:Q185" si="315">G135/G25</f>
        <v>432.09339364894277</v>
      </c>
      <c r="H185" s="142">
        <f t="shared" si="315"/>
        <v>474.44092693751185</v>
      </c>
      <c r="I185" s="142">
        <f t="shared" si="315"/>
        <v>427.56580156273367</v>
      </c>
      <c r="J185" s="142">
        <f t="shared" si="315"/>
        <v>465.41398418015194</v>
      </c>
      <c r="K185" s="142">
        <f t="shared" si="315"/>
        <v>584.17949620381273</v>
      </c>
      <c r="L185" s="142">
        <f t="shared" si="315"/>
        <v>623.5151176979839</v>
      </c>
      <c r="M185" s="142">
        <f t="shared" si="315"/>
        <v>451.67534987969117</v>
      </c>
      <c r="N185" s="142">
        <f t="shared" si="315"/>
        <v>495.12920982195271</v>
      </c>
      <c r="O185" s="142">
        <f t="shared" si="315"/>
        <v>411.50278456204757</v>
      </c>
      <c r="P185" s="142">
        <f t="shared" si="315"/>
        <v>430.43676738263292</v>
      </c>
      <c r="Q185" s="142">
        <f t="shared" si="315"/>
        <v>481.78382060688648</v>
      </c>
      <c r="R185" s="160">
        <f t="shared" si="274"/>
        <v>0.4735297240977161</v>
      </c>
      <c r="S185" s="161"/>
      <c r="T185" s="252">
        <f t="shared" ref="T185" si="316">T135/T25</f>
        <v>460.59663502191836</v>
      </c>
    </row>
    <row r="186" spans="1:20" s="116" customFormat="1" ht="13.5">
      <c r="A186" s="133"/>
      <c r="B186" s="134" t="s">
        <v>24</v>
      </c>
      <c r="C186" s="135"/>
      <c r="D186" s="138">
        <f t="shared" si="311"/>
        <v>465.41507705319788</v>
      </c>
      <c r="E186" s="142">
        <f t="shared" ref="E186" si="317">E136/E26</f>
        <v>390.58597201719709</v>
      </c>
      <c r="F186" s="142">
        <f>F136/F26</f>
        <v>538.39626892350839</v>
      </c>
      <c r="G186" s="142">
        <f t="shared" ref="G186:Q186" si="318">G136/G26</f>
        <v>417.00303782053055</v>
      </c>
      <c r="H186" s="142">
        <f t="shared" si="318"/>
        <v>457.8716330943721</v>
      </c>
      <c r="I186" s="142">
        <f t="shared" si="318"/>
        <v>412.63356658650525</v>
      </c>
      <c r="J186" s="142">
        <f t="shared" si="318"/>
        <v>449.15994574302732</v>
      </c>
      <c r="K186" s="142">
        <f t="shared" si="318"/>
        <v>563.77771132362022</v>
      </c>
      <c r="L186" s="142">
        <f t="shared" si="318"/>
        <v>601.73958229578955</v>
      </c>
      <c r="M186" s="142">
        <f t="shared" si="318"/>
        <v>435.90111715873275</v>
      </c>
      <c r="N186" s="142">
        <f t="shared" si="318"/>
        <v>477.83740192330146</v>
      </c>
      <c r="O186" s="142">
        <f t="shared" si="318"/>
        <v>397.13153164613544</v>
      </c>
      <c r="P186" s="142">
        <f t="shared" si="318"/>
        <v>391.37603598874927</v>
      </c>
      <c r="Q186" s="142">
        <f t="shared" si="318"/>
        <v>465.41507705319793</v>
      </c>
      <c r="R186" s="160">
        <f t="shared" si="274"/>
        <v>0</v>
      </c>
      <c r="S186" s="161"/>
      <c r="T186" s="252">
        <f t="shared" ref="T186" si="319">T136/T26</f>
        <v>444.31516171052039</v>
      </c>
    </row>
    <row r="187" spans="1:20" s="116" customFormat="1" ht="13.5">
      <c r="A187" s="133"/>
      <c r="B187" s="134" t="s">
        <v>25</v>
      </c>
      <c r="C187" s="135"/>
      <c r="D187" s="138">
        <f t="shared" si="311"/>
        <v>472.57193329201647</v>
      </c>
      <c r="E187" s="142">
        <f t="shared" ref="E187" si="320">E137/E27</f>
        <v>396.59215400065403</v>
      </c>
      <c r="F187" s="142">
        <f>F137/F27</f>
        <v>535.13044686931255</v>
      </c>
      <c r="G187" s="142">
        <f t="shared" ref="G187:Q187" si="321">G137/G27</f>
        <v>423.41544459456156</v>
      </c>
      <c r="H187" s="142">
        <f t="shared" si="321"/>
        <v>453.36755454457381</v>
      </c>
      <c r="I187" s="142">
        <f t="shared" si="321"/>
        <v>418.97878241850759</v>
      </c>
      <c r="J187" s="142">
        <f t="shared" si="321"/>
        <v>456.06684093918574</v>
      </c>
      <c r="K187" s="142">
        <f t="shared" si="321"/>
        <v>572.4471254219776</v>
      </c>
      <c r="L187" s="142">
        <f t="shared" si="321"/>
        <v>610.99274983596638</v>
      </c>
      <c r="M187" s="142">
        <f t="shared" si="321"/>
        <v>442.60412654467285</v>
      </c>
      <c r="N187" s="142">
        <f t="shared" si="321"/>
        <v>473.64034423348647</v>
      </c>
      <c r="O187" s="142">
        <f t="shared" si="321"/>
        <v>403.23836707116868</v>
      </c>
      <c r="P187" s="142">
        <f t="shared" si="321"/>
        <v>416.29337258182403</v>
      </c>
      <c r="Q187" s="142">
        <f t="shared" si="321"/>
        <v>472.19606594783045</v>
      </c>
      <c r="R187" s="160">
        <f t="shared" si="274"/>
        <v>0.37586734418601964</v>
      </c>
      <c r="S187" s="161"/>
      <c r="T187" s="252">
        <f t="shared" ref="T187" si="322">T137/T27</f>
        <v>447.16481284304257</v>
      </c>
    </row>
    <row r="188" spans="1:20" s="116" customFormat="1" ht="24" customHeight="1">
      <c r="A188" s="129">
        <v>39</v>
      </c>
      <c r="B188" s="139" t="s">
        <v>78</v>
      </c>
      <c r="C188" s="140" t="s">
        <v>34</v>
      </c>
      <c r="D188" s="140">
        <f>D189+D190+D191+D192</f>
        <v>323378.97799999989</v>
      </c>
      <c r="E188" s="132">
        <f>SUM(E189:E192)</f>
        <v>24225.183249999984</v>
      </c>
      <c r="F188" s="132">
        <f t="shared" ref="F188" si="323">SUM(F189:F192)</f>
        <v>23923.874449999978</v>
      </c>
      <c r="G188" s="132">
        <f t="shared" ref="G188:P188" si="324">SUM(G189:G192)</f>
        <v>23805.641466666653</v>
      </c>
      <c r="H188" s="132">
        <f t="shared" si="324"/>
        <v>23859.22498333333</v>
      </c>
      <c r="I188" s="132">
        <f t="shared" si="324"/>
        <v>23172.505291811416</v>
      </c>
      <c r="J188" s="132">
        <f t="shared" si="324"/>
        <v>22717.80866435897</v>
      </c>
      <c r="K188" s="132">
        <f t="shared" si="324"/>
        <v>26886.70387846154</v>
      </c>
      <c r="L188" s="132">
        <f t="shared" si="324"/>
        <v>29781.535000000003</v>
      </c>
      <c r="M188" s="132">
        <f t="shared" si="324"/>
        <v>27503.644799999995</v>
      </c>
      <c r="N188" s="132">
        <f t="shared" si="324"/>
        <v>29247.153999999999</v>
      </c>
      <c r="O188" s="132">
        <f t="shared" si="324"/>
        <v>27656.898800000003</v>
      </c>
      <c r="P188" s="132">
        <f t="shared" si="324"/>
        <v>26190.961349999983</v>
      </c>
      <c r="Q188" s="132">
        <f>SUM(Q189:Q192)</f>
        <v>308971.13593463186</v>
      </c>
      <c r="R188" s="160">
        <f t="shared" si="274"/>
        <v>14407.842065368022</v>
      </c>
      <c r="S188" s="161"/>
      <c r="T188" s="249">
        <f>E188+F188+G188+H188+I188+J188</f>
        <v>141704.23810617035</v>
      </c>
    </row>
    <row r="189" spans="1:20" s="116" customFormat="1" ht="13.5">
      <c r="A189" s="133"/>
      <c r="B189" s="134" t="s">
        <v>22</v>
      </c>
      <c r="C189" s="135"/>
      <c r="D189" s="142">
        <v>109609.98749999987</v>
      </c>
      <c r="E189" s="143">
        <f>E194*E34/1000</f>
        <v>8994.6962999999851</v>
      </c>
      <c r="F189" s="143">
        <f t="shared" ref="F189" si="325">F194*F34/1000</f>
        <v>8980.0338499999798</v>
      </c>
      <c r="G189" s="143">
        <f t="shared" ref="G189:P189" si="326">G194*G34/1000</f>
        <v>9024.4738999999881</v>
      </c>
      <c r="H189" s="143">
        <f t="shared" si="326"/>
        <v>9158.1209999999992</v>
      </c>
      <c r="I189" s="143">
        <f t="shared" si="326"/>
        <v>9384.8247225806463</v>
      </c>
      <c r="J189" s="143">
        <f t="shared" si="326"/>
        <v>9581.1842399999987</v>
      </c>
      <c r="K189" s="143">
        <f t="shared" si="326"/>
        <v>11222.070840000002</v>
      </c>
      <c r="L189" s="143">
        <f t="shared" si="326"/>
        <v>9461.077900000002</v>
      </c>
      <c r="M189" s="143">
        <f t="shared" si="326"/>
        <v>9065.2671999999984</v>
      </c>
      <c r="N189" s="143">
        <f t="shared" si="326"/>
        <v>10206.876</v>
      </c>
      <c r="O189" s="143">
        <f t="shared" si="326"/>
        <v>10098.680700000001</v>
      </c>
      <c r="P189" s="143">
        <f t="shared" si="326"/>
        <v>9455.7712500000198</v>
      </c>
      <c r="Q189" s="163">
        <f>SUM(E189:P189)</f>
        <v>114633.07790258063</v>
      </c>
      <c r="R189" s="160">
        <f t="shared" si="274"/>
        <v>-5023.090402580754</v>
      </c>
      <c r="S189" s="161"/>
      <c r="T189" s="249">
        <f t="shared" ref="T189:T192" si="327">E189+F189+G189+H189+I189+J189</f>
        <v>55123.334012580599</v>
      </c>
    </row>
    <row r="190" spans="1:20" s="116" customFormat="1" ht="13.5">
      <c r="A190" s="133"/>
      <c r="B190" s="134" t="s">
        <v>229</v>
      </c>
      <c r="C190" s="135"/>
      <c r="D190" s="142">
        <v>119182.38749999998</v>
      </c>
      <c r="E190" s="143">
        <f t="shared" ref="E190" si="328">E195*E35/1000</f>
        <v>8871.3053</v>
      </c>
      <c r="F190" s="143">
        <f t="shared" ref="F190" si="329">F195*F35/1000</f>
        <v>8856.8507499999996</v>
      </c>
      <c r="G190" s="143">
        <f t="shared" ref="G190:P190" si="330">G195*G35/1000</f>
        <v>8900.6879499999995</v>
      </c>
      <c r="H190" s="143">
        <f t="shared" si="330"/>
        <v>8602.3739999999998</v>
      </c>
      <c r="I190" s="143">
        <f t="shared" si="330"/>
        <v>8151.6480692307705</v>
      </c>
      <c r="J190" s="143">
        <f t="shared" si="330"/>
        <v>7874.7861076923073</v>
      </c>
      <c r="K190" s="143">
        <f t="shared" si="330"/>
        <v>9223.4530384615373</v>
      </c>
      <c r="L190" s="143">
        <f t="shared" si="330"/>
        <v>11027.8971</v>
      </c>
      <c r="M190" s="143">
        <f t="shared" si="330"/>
        <v>10344.857599999999</v>
      </c>
      <c r="N190" s="143">
        <f t="shared" si="330"/>
        <v>10676.974</v>
      </c>
      <c r="O190" s="143">
        <f t="shared" si="330"/>
        <v>10563.8181</v>
      </c>
      <c r="P190" s="143">
        <f t="shared" si="330"/>
        <v>9932.7788999999648</v>
      </c>
      <c r="Q190" s="163">
        <f t="shared" ref="Q190" si="331">SUM(E190:P190)</f>
        <v>113027.43091538457</v>
      </c>
      <c r="R190" s="160">
        <f t="shared" si="274"/>
        <v>6154.9565846154146</v>
      </c>
      <c r="S190" s="161"/>
      <c r="T190" s="249">
        <f t="shared" si="327"/>
        <v>51257.652176923068</v>
      </c>
    </row>
    <row r="191" spans="1:20" s="116" customFormat="1" ht="24" customHeight="1">
      <c r="A191" s="133"/>
      <c r="B191" s="134" t="s">
        <v>24</v>
      </c>
      <c r="C191" s="135"/>
      <c r="D191" s="142">
        <v>28304.793000000001</v>
      </c>
      <c r="E191" s="143">
        <f t="shared" ref="E191" si="332">E196*E36/1000</f>
        <v>2605.73335</v>
      </c>
      <c r="F191" s="143">
        <f>F196*F36/1000</f>
        <v>2494.1999500000002</v>
      </c>
      <c r="G191" s="143">
        <f t="shared" ref="G191:P191" si="333">G196*G36/1000</f>
        <v>2409.58025</v>
      </c>
      <c r="H191" s="143">
        <f t="shared" si="333"/>
        <v>2499.0245500000001</v>
      </c>
      <c r="I191" s="143">
        <f t="shared" si="333"/>
        <v>2309.4225000000001</v>
      </c>
      <c r="J191" s="143">
        <f t="shared" si="333"/>
        <v>2156.0995500000004</v>
      </c>
      <c r="K191" s="143">
        <f t="shared" si="333"/>
        <v>2639.34</v>
      </c>
      <c r="L191" s="143">
        <f t="shared" si="333"/>
        <v>2639.34</v>
      </c>
      <c r="M191" s="143">
        <f t="shared" si="333"/>
        <v>2298.7800000000007</v>
      </c>
      <c r="N191" s="143">
        <f t="shared" si="333"/>
        <v>2375.4059999999999</v>
      </c>
      <c r="O191" s="143">
        <f t="shared" si="333"/>
        <v>1986.6</v>
      </c>
      <c r="P191" s="143">
        <f t="shared" si="333"/>
        <v>1891.2668500000002</v>
      </c>
      <c r="Q191" s="163">
        <f>SUM(E191:P191)</f>
        <v>28304.793000000001</v>
      </c>
      <c r="R191" s="160">
        <f t="shared" si="274"/>
        <v>0</v>
      </c>
      <c r="S191" s="161"/>
      <c r="T191" s="249">
        <f t="shared" si="327"/>
        <v>14474.060150000003</v>
      </c>
    </row>
    <row r="192" spans="1:20" s="116" customFormat="1" ht="24" customHeight="1">
      <c r="A192" s="133"/>
      <c r="B192" s="134" t="s">
        <v>25</v>
      </c>
      <c r="C192" s="135"/>
      <c r="D192" s="142">
        <v>66281.810000000012</v>
      </c>
      <c r="E192" s="143">
        <f t="shared" ref="E192" si="334">E197*E37/1000</f>
        <v>3753.4483000000005</v>
      </c>
      <c r="F192" s="143">
        <f>F197*F37/1000</f>
        <v>3592.7899000000002</v>
      </c>
      <c r="G192" s="143">
        <f t="shared" ref="G192:P192" si="335">G197*G37/1000</f>
        <v>3470.8993666666665</v>
      </c>
      <c r="H192" s="143">
        <f t="shared" si="335"/>
        <v>3599.7054333333331</v>
      </c>
      <c r="I192" s="143">
        <f t="shared" si="335"/>
        <v>3326.61</v>
      </c>
      <c r="J192" s="143">
        <f t="shared" si="335"/>
        <v>3105.7387666666664</v>
      </c>
      <c r="K192" s="143">
        <f t="shared" si="335"/>
        <v>3801.84</v>
      </c>
      <c r="L192" s="143">
        <f t="shared" si="335"/>
        <v>6653.22</v>
      </c>
      <c r="M192" s="143">
        <f t="shared" si="335"/>
        <v>5794.74</v>
      </c>
      <c r="N192" s="143">
        <f t="shared" si="335"/>
        <v>5987.898000000001</v>
      </c>
      <c r="O192" s="143">
        <f t="shared" si="335"/>
        <v>5007.8000000000011</v>
      </c>
      <c r="P192" s="143">
        <f t="shared" si="335"/>
        <v>4911.1443500000005</v>
      </c>
      <c r="Q192" s="163">
        <f>SUM(E192:P192)</f>
        <v>53005.834116666672</v>
      </c>
      <c r="R192" s="160">
        <f t="shared" si="274"/>
        <v>13275.97588333334</v>
      </c>
      <c r="S192" s="161"/>
      <c r="T192" s="249">
        <f t="shared" si="327"/>
        <v>20849.191766666667</v>
      </c>
    </row>
    <row r="193" spans="1:20" s="116" customFormat="1" ht="24" customHeight="1">
      <c r="A193" s="129">
        <v>40</v>
      </c>
      <c r="B193" s="139" t="s">
        <v>79</v>
      </c>
      <c r="C193" s="138" t="s">
        <v>80</v>
      </c>
      <c r="D193" s="140">
        <f>D188/D33*1000</f>
        <v>2407.0750425024489</v>
      </c>
      <c r="E193" s="140">
        <f t="shared" ref="E193:Q193" si="336">E188/E33*1000</f>
        <v>2402.9749298951624</v>
      </c>
      <c r="F193" s="140">
        <f t="shared" si="336"/>
        <v>2402.2245545508854</v>
      </c>
      <c r="G193" s="140">
        <f t="shared" si="336"/>
        <v>2401.5359596906583</v>
      </c>
      <c r="H193" s="140">
        <f t="shared" si="336"/>
        <v>2404.7379697882798</v>
      </c>
      <c r="I193" s="140">
        <f t="shared" si="336"/>
        <v>2407.5424765034559</v>
      </c>
      <c r="J193" s="140">
        <f t="shared" si="336"/>
        <v>2409.3591407001909</v>
      </c>
      <c r="K193" s="140">
        <f t="shared" si="336"/>
        <v>2410.0063912955593</v>
      </c>
      <c r="L193" s="140">
        <f t="shared" si="336"/>
        <v>2407.1177664908973</v>
      </c>
      <c r="M193" s="140">
        <f t="shared" si="336"/>
        <v>2405.8471658502444</v>
      </c>
      <c r="N193" s="140">
        <f t="shared" si="336"/>
        <v>2408.9178993839155</v>
      </c>
      <c r="O193" s="140">
        <f t="shared" si="336"/>
        <v>2404.9477217391304</v>
      </c>
      <c r="P193" s="140">
        <f t="shared" si="336"/>
        <v>2405.8444856375718</v>
      </c>
      <c r="Q193" s="140">
        <f t="shared" si="336"/>
        <v>2406.0004828113792</v>
      </c>
      <c r="R193" s="160">
        <f t="shared" si="274"/>
        <v>1.0745596910696804</v>
      </c>
      <c r="S193" s="161"/>
      <c r="T193" s="252">
        <f>T188/T33*1000</f>
        <v>2404.6704428638282</v>
      </c>
    </row>
    <row r="194" spans="1:20" s="116" customFormat="1" ht="24" customHeight="1">
      <c r="A194" s="133"/>
      <c r="B194" s="134" t="s">
        <v>22</v>
      </c>
      <c r="C194" s="135"/>
      <c r="D194" s="136">
        <v>2515</v>
      </c>
      <c r="E194" s="136">
        <v>2515</v>
      </c>
      <c r="F194" s="136">
        <v>2515</v>
      </c>
      <c r="G194" s="136">
        <v>2515</v>
      </c>
      <c r="H194" s="136">
        <v>2515</v>
      </c>
      <c r="I194" s="136">
        <v>2515</v>
      </c>
      <c r="J194" s="136">
        <v>2515</v>
      </c>
      <c r="K194" s="136">
        <v>2515</v>
      </c>
      <c r="L194" s="136">
        <v>2515</v>
      </c>
      <c r="M194" s="136">
        <v>2515</v>
      </c>
      <c r="N194" s="136">
        <v>2515</v>
      </c>
      <c r="O194" s="136">
        <v>2515</v>
      </c>
      <c r="P194" s="136">
        <v>2515</v>
      </c>
      <c r="Q194" s="136">
        <v>2515</v>
      </c>
      <c r="R194" s="160">
        <f t="shared" si="274"/>
        <v>0</v>
      </c>
      <c r="S194" s="161"/>
      <c r="T194" s="263">
        <v>2515</v>
      </c>
    </row>
    <row r="195" spans="1:20" s="116" customFormat="1" ht="24" customHeight="1">
      <c r="A195" s="133"/>
      <c r="B195" s="134" t="s">
        <v>23</v>
      </c>
      <c r="C195" s="135"/>
      <c r="D195" s="136">
        <v>2255</v>
      </c>
      <c r="E195" s="136">
        <v>2255</v>
      </c>
      <c r="F195" s="136">
        <v>2255</v>
      </c>
      <c r="G195" s="136">
        <v>2255</v>
      </c>
      <c r="H195" s="136">
        <v>2255</v>
      </c>
      <c r="I195" s="136">
        <v>2255</v>
      </c>
      <c r="J195" s="136">
        <v>2255</v>
      </c>
      <c r="K195" s="136">
        <v>2255</v>
      </c>
      <c r="L195" s="136">
        <v>2255</v>
      </c>
      <c r="M195" s="136">
        <v>2255</v>
      </c>
      <c r="N195" s="136">
        <v>2255</v>
      </c>
      <c r="O195" s="136">
        <v>2255</v>
      </c>
      <c r="P195" s="136">
        <v>2255</v>
      </c>
      <c r="Q195" s="136">
        <v>2255</v>
      </c>
      <c r="R195" s="160">
        <f t="shared" si="274"/>
        <v>0</v>
      </c>
      <c r="S195" s="161"/>
      <c r="T195" s="263">
        <v>2255</v>
      </c>
    </row>
    <row r="196" spans="1:20" s="116" customFormat="1" ht="24" customHeight="1">
      <c r="A196" s="133"/>
      <c r="B196" s="134" t="s">
        <v>24</v>
      </c>
      <c r="C196" s="135"/>
      <c r="D196" s="136">
        <v>2365</v>
      </c>
      <c r="E196" s="136">
        <v>2365</v>
      </c>
      <c r="F196" s="136">
        <v>2365</v>
      </c>
      <c r="G196" s="136">
        <v>2365</v>
      </c>
      <c r="H196" s="136">
        <v>2365</v>
      </c>
      <c r="I196" s="136">
        <v>2365</v>
      </c>
      <c r="J196" s="136">
        <v>2365</v>
      </c>
      <c r="K196" s="136">
        <v>2365</v>
      </c>
      <c r="L196" s="136">
        <v>2365</v>
      </c>
      <c r="M196" s="136">
        <v>2365</v>
      </c>
      <c r="N196" s="136">
        <v>2365</v>
      </c>
      <c r="O196" s="136">
        <v>2365</v>
      </c>
      <c r="P196" s="136">
        <v>2365</v>
      </c>
      <c r="Q196" s="136">
        <v>2365</v>
      </c>
      <c r="R196" s="160">
        <f t="shared" ref="R196" si="337">D196-Q196</f>
        <v>0</v>
      </c>
      <c r="S196" s="161"/>
      <c r="T196" s="263">
        <v>2365</v>
      </c>
    </row>
    <row r="197" spans="1:20" s="116" customFormat="1" ht="24" customHeight="1">
      <c r="A197" s="133"/>
      <c r="B197" s="134" t="s">
        <v>25</v>
      </c>
      <c r="C197" s="135"/>
      <c r="D197" s="136">
        <v>2555</v>
      </c>
      <c r="E197" s="136">
        <v>2555</v>
      </c>
      <c r="F197" s="136">
        <v>2555</v>
      </c>
      <c r="G197" s="136">
        <v>2555</v>
      </c>
      <c r="H197" s="136">
        <v>2555</v>
      </c>
      <c r="I197" s="136">
        <v>2555</v>
      </c>
      <c r="J197" s="136">
        <v>2555</v>
      </c>
      <c r="K197" s="136">
        <v>2555</v>
      </c>
      <c r="L197" s="136">
        <v>2555</v>
      </c>
      <c r="M197" s="136">
        <v>2555</v>
      </c>
      <c r="N197" s="136">
        <v>2555</v>
      </c>
      <c r="O197" s="136">
        <v>2555</v>
      </c>
      <c r="P197" s="136">
        <v>2555</v>
      </c>
      <c r="Q197" s="136">
        <v>2555</v>
      </c>
      <c r="R197" s="160">
        <f t="shared" ref="R197:R219" si="338">D197-Q197</f>
        <v>0</v>
      </c>
      <c r="S197" s="161"/>
      <c r="T197" s="263">
        <v>2555</v>
      </c>
    </row>
    <row r="198" spans="1:20" s="116" customFormat="1" ht="24" customHeight="1">
      <c r="A198" s="129">
        <v>41</v>
      </c>
      <c r="B198" s="180" t="s">
        <v>81</v>
      </c>
      <c r="C198" s="181" t="s">
        <v>82</v>
      </c>
      <c r="D198" s="240">
        <f>D188/D18/10</f>
        <v>0.30376228100080394</v>
      </c>
      <c r="E198" s="182">
        <f t="shared" ref="E198:Q198" si="339">E188/E18/10</f>
        <v>0.30340544677138082</v>
      </c>
      <c r="F198" s="182">
        <f t="shared" si="339"/>
        <v>0.30333304380411741</v>
      </c>
      <c r="G198" s="182">
        <f t="shared" si="339"/>
        <v>0.30326659409922568</v>
      </c>
      <c r="H198" s="182">
        <f t="shared" si="339"/>
        <v>0.30264349320539119</v>
      </c>
      <c r="I198" s="182">
        <f t="shared" si="339"/>
        <v>0.3013897355316254</v>
      </c>
      <c r="J198" s="182">
        <f t="shared" si="339"/>
        <v>0.30045729557172157</v>
      </c>
      <c r="K198" s="182">
        <f t="shared" si="339"/>
        <v>0.30055470598041967</v>
      </c>
      <c r="L198" s="182">
        <f t="shared" si="339"/>
        <v>0.30455983142621129</v>
      </c>
      <c r="M198" s="182">
        <f t="shared" si="339"/>
        <v>0.30425394132884498</v>
      </c>
      <c r="N198" s="182">
        <f t="shared" si="339"/>
        <v>0.30304214205532853</v>
      </c>
      <c r="O198" s="182">
        <f t="shared" si="339"/>
        <v>0.30294370813445881</v>
      </c>
      <c r="P198" s="182">
        <f t="shared" si="339"/>
        <v>0.30296383060953402</v>
      </c>
      <c r="Q198" s="182">
        <f t="shared" si="339"/>
        <v>0.30278277319895308</v>
      </c>
      <c r="R198" s="160">
        <f t="shared" si="338"/>
        <v>9.7950780185085407E-4</v>
      </c>
      <c r="S198" s="161"/>
      <c r="T198" s="264">
        <f t="shared" ref="T198" si="340">T188/T18/10</f>
        <v>0.30243527023550459</v>
      </c>
    </row>
    <row r="199" spans="1:20" s="116" customFormat="1" ht="13.5">
      <c r="A199" s="133"/>
      <c r="B199" s="134" t="s">
        <v>22</v>
      </c>
      <c r="C199" s="135"/>
      <c r="D199" s="241">
        <v>0.26746782941614378</v>
      </c>
      <c r="E199" s="183">
        <v>0.26746782941614378</v>
      </c>
      <c r="F199" s="183">
        <v>0.26746782941614378</v>
      </c>
      <c r="G199" s="183">
        <v>0.26746782941614378</v>
      </c>
      <c r="H199" s="183">
        <v>0.26746782941614378</v>
      </c>
      <c r="I199" s="183">
        <v>0.26746782941614378</v>
      </c>
      <c r="J199" s="183">
        <v>0.26746782941614378</v>
      </c>
      <c r="K199" s="183">
        <v>0.26746782941614378</v>
      </c>
      <c r="L199" s="183">
        <v>0.26746782941614378</v>
      </c>
      <c r="M199" s="183">
        <v>0.26746782941614378</v>
      </c>
      <c r="N199" s="183">
        <v>0.26746782941614378</v>
      </c>
      <c r="O199" s="183">
        <v>0.26746782941614378</v>
      </c>
      <c r="P199" s="183">
        <v>0.26746782941614378</v>
      </c>
      <c r="Q199" s="183">
        <v>0.26746782941614378</v>
      </c>
      <c r="R199" s="160">
        <f t="shared" si="338"/>
        <v>0</v>
      </c>
      <c r="S199" s="161"/>
      <c r="T199" s="264">
        <v>0.26746782941614378</v>
      </c>
    </row>
    <row r="200" spans="1:20" s="116" customFormat="1" ht="24" customHeight="1">
      <c r="A200" s="133"/>
      <c r="B200" s="134" t="s">
        <v>23</v>
      </c>
      <c r="C200" s="135"/>
      <c r="D200" s="241">
        <v>0.3450122399020808</v>
      </c>
      <c r="E200" s="183">
        <v>0.3450122399020808</v>
      </c>
      <c r="F200" s="183">
        <v>0.3450122399020808</v>
      </c>
      <c r="G200" s="183">
        <v>0.3450122399020808</v>
      </c>
      <c r="H200" s="183">
        <v>0.3450122399020808</v>
      </c>
      <c r="I200" s="183">
        <v>0.3450122399020808</v>
      </c>
      <c r="J200" s="183">
        <v>0.3450122399020808</v>
      </c>
      <c r="K200" s="183">
        <v>0.3450122399020808</v>
      </c>
      <c r="L200" s="183">
        <v>0.3450122399020808</v>
      </c>
      <c r="M200" s="183">
        <v>0.3450122399020808</v>
      </c>
      <c r="N200" s="183">
        <v>0.3450122399020808</v>
      </c>
      <c r="O200" s="183">
        <v>0.3450122399020808</v>
      </c>
      <c r="P200" s="183">
        <v>0.3450122399020808</v>
      </c>
      <c r="Q200" s="183">
        <v>0.3450122399020808</v>
      </c>
      <c r="R200" s="160">
        <f t="shared" si="338"/>
        <v>0</v>
      </c>
      <c r="S200" s="161"/>
      <c r="T200" s="264">
        <v>0.3450122399020808</v>
      </c>
    </row>
    <row r="201" spans="1:20" s="116" customFormat="1" ht="24" customHeight="1">
      <c r="A201" s="133"/>
      <c r="B201" s="134" t="s">
        <v>24</v>
      </c>
      <c r="C201" s="135"/>
      <c r="D201" s="241">
        <v>0.3359375</v>
      </c>
      <c r="E201" s="183">
        <v>0.3359375</v>
      </c>
      <c r="F201" s="183">
        <v>0.3359375</v>
      </c>
      <c r="G201" s="183">
        <v>0.3359375</v>
      </c>
      <c r="H201" s="183">
        <v>0.3359375</v>
      </c>
      <c r="I201" s="183">
        <v>0.3359375</v>
      </c>
      <c r="J201" s="183">
        <v>0.3359375</v>
      </c>
      <c r="K201" s="183">
        <v>0.3359375</v>
      </c>
      <c r="L201" s="183">
        <v>0.3359375</v>
      </c>
      <c r="M201" s="183">
        <v>0.3359375</v>
      </c>
      <c r="N201" s="183">
        <v>0.3359375</v>
      </c>
      <c r="O201" s="183">
        <v>0.3359375</v>
      </c>
      <c r="P201" s="183">
        <v>0.3359375</v>
      </c>
      <c r="Q201" s="183">
        <v>0.3359375</v>
      </c>
      <c r="R201" s="160">
        <f t="shared" si="338"/>
        <v>0</v>
      </c>
      <c r="S201" s="161"/>
      <c r="T201" s="264">
        <v>0.3359375</v>
      </c>
    </row>
    <row r="202" spans="1:20" s="116" customFormat="1" ht="24" customHeight="1">
      <c r="A202" s="133"/>
      <c r="B202" s="134" t="s">
        <v>25</v>
      </c>
      <c r="C202" s="135"/>
      <c r="D202" s="241">
        <v>0.29449054863992602</v>
      </c>
      <c r="E202" s="183">
        <v>0.29449054863992602</v>
      </c>
      <c r="F202" s="183">
        <v>0.29449054863992602</v>
      </c>
      <c r="G202" s="183">
        <v>0.29449054863992602</v>
      </c>
      <c r="H202" s="183">
        <v>0.29449054863992602</v>
      </c>
      <c r="I202" s="183">
        <v>0.29449054863992602</v>
      </c>
      <c r="J202" s="183">
        <v>0.29449054863992602</v>
      </c>
      <c r="K202" s="183">
        <v>0.29449054863992602</v>
      </c>
      <c r="L202" s="183">
        <v>0.29449054863992602</v>
      </c>
      <c r="M202" s="183">
        <v>0.29449054863992602</v>
      </c>
      <c r="N202" s="183">
        <v>0.29449054863992602</v>
      </c>
      <c r="O202" s="183">
        <v>0.29449054863992602</v>
      </c>
      <c r="P202" s="183">
        <v>0.29449054863992602</v>
      </c>
      <c r="Q202" s="183">
        <v>0.29449054863992602</v>
      </c>
      <c r="R202" s="160">
        <f t="shared" si="338"/>
        <v>0</v>
      </c>
      <c r="S202" s="161"/>
      <c r="T202" s="264">
        <v>0.29449054863992602</v>
      </c>
    </row>
    <row r="203" spans="1:20" s="116" customFormat="1" ht="24" customHeight="1">
      <c r="A203" s="184">
        <v>42</v>
      </c>
      <c r="B203" s="185" t="s">
        <v>83</v>
      </c>
      <c r="C203" s="186" t="s">
        <v>63</v>
      </c>
      <c r="D203" s="183">
        <v>0.98000000000000009</v>
      </c>
      <c r="E203" s="183">
        <v>0.98000000000000009</v>
      </c>
      <c r="F203" s="183">
        <v>0.98000000000000009</v>
      </c>
      <c r="G203" s="183">
        <v>0.98000000000000009</v>
      </c>
      <c r="H203" s="183">
        <v>0.98000000000000009</v>
      </c>
      <c r="I203" s="183">
        <v>0.98000000000000009</v>
      </c>
      <c r="J203" s="183">
        <v>0.98000000000000009</v>
      </c>
      <c r="K203" s="183">
        <v>0.98000000000000009</v>
      </c>
      <c r="L203" s="183">
        <v>0.98000000000000009</v>
      </c>
      <c r="M203" s="183">
        <v>0.98000000000000009</v>
      </c>
      <c r="N203" s="183">
        <v>0.98000000000000009</v>
      </c>
      <c r="O203" s="183">
        <v>0.98000000000000009</v>
      </c>
      <c r="P203" s="183">
        <v>0.98000000000000009</v>
      </c>
      <c r="Q203" s="183">
        <v>0.98000000000000009</v>
      </c>
      <c r="R203" s="160">
        <f t="shared" si="338"/>
        <v>0</v>
      </c>
      <c r="S203" s="161"/>
      <c r="T203" s="264">
        <v>0.98000000000000009</v>
      </c>
    </row>
    <row r="204" spans="1:20" s="116" customFormat="1" ht="24" customHeight="1">
      <c r="A204" s="184">
        <v>43</v>
      </c>
      <c r="B204" s="185" t="s">
        <v>84</v>
      </c>
      <c r="C204" s="186" t="s">
        <v>77</v>
      </c>
      <c r="D204" s="183">
        <v>3.5999999999999996</v>
      </c>
      <c r="E204" s="183">
        <v>3.5999999999999996</v>
      </c>
      <c r="F204" s="183">
        <v>3.5999999999999996</v>
      </c>
      <c r="G204" s="183">
        <v>3.5999999999999996</v>
      </c>
      <c r="H204" s="183">
        <v>3.5999999999999996</v>
      </c>
      <c r="I204" s="183">
        <v>3.5999999999999996</v>
      </c>
      <c r="J204" s="183">
        <v>3.5999999999999996</v>
      </c>
      <c r="K204" s="183">
        <v>3.5999999999999996</v>
      </c>
      <c r="L204" s="183">
        <v>3.5999999999999996</v>
      </c>
      <c r="M204" s="183">
        <v>3.5999999999999996</v>
      </c>
      <c r="N204" s="183">
        <v>3.5999999999999996</v>
      </c>
      <c r="O204" s="183">
        <v>3.5999999999999996</v>
      </c>
      <c r="P204" s="183">
        <v>3.5999999999999996</v>
      </c>
      <c r="Q204" s="183">
        <v>3.5999999999999996</v>
      </c>
      <c r="R204" s="160">
        <f t="shared" si="338"/>
        <v>0</v>
      </c>
      <c r="S204" s="161"/>
      <c r="T204" s="264">
        <v>3.6</v>
      </c>
    </row>
    <row r="205" spans="1:20" s="116" customFormat="1" ht="24" customHeight="1">
      <c r="A205" s="184">
        <v>44</v>
      </c>
      <c r="B205" s="185" t="s">
        <v>85</v>
      </c>
      <c r="C205" s="186" t="s">
        <v>86</v>
      </c>
      <c r="D205" s="173">
        <v>0.46877014139693785</v>
      </c>
      <c r="E205" s="173">
        <v>0.46877014139693785</v>
      </c>
      <c r="F205" s="173">
        <v>0.46877014139693785</v>
      </c>
      <c r="G205" s="173">
        <v>0.46877014139693785</v>
      </c>
      <c r="H205" s="173">
        <v>0.46877014139693785</v>
      </c>
      <c r="I205" s="173">
        <v>0.46877014139693785</v>
      </c>
      <c r="J205" s="173">
        <v>0.46877014139693785</v>
      </c>
      <c r="K205" s="173">
        <v>0.46877014139693785</v>
      </c>
      <c r="L205" s="173">
        <v>0.46877014139693785</v>
      </c>
      <c r="M205" s="173">
        <v>0.46877014139693785</v>
      </c>
      <c r="N205" s="173">
        <v>0.46877014139693785</v>
      </c>
      <c r="O205" s="173">
        <v>0.46877014139693785</v>
      </c>
      <c r="P205" s="173">
        <v>0.46877014139693785</v>
      </c>
      <c r="Q205" s="173">
        <v>0.46877014139693785</v>
      </c>
      <c r="R205" s="160">
        <f t="shared" si="338"/>
        <v>0</v>
      </c>
      <c r="S205" s="161"/>
      <c r="T205" s="253">
        <v>0.46877014139693785</v>
      </c>
    </row>
    <row r="206" spans="1:20" s="116" customFormat="1" ht="24" customHeight="1">
      <c r="A206" s="184">
        <v>45</v>
      </c>
      <c r="B206" s="185" t="s">
        <v>87</v>
      </c>
      <c r="C206" s="186" t="s">
        <v>88</v>
      </c>
      <c r="D206" s="143">
        <v>400</v>
      </c>
      <c r="E206" s="143">
        <v>400</v>
      </c>
      <c r="F206" s="143">
        <v>400</v>
      </c>
      <c r="G206" s="143">
        <v>400</v>
      </c>
      <c r="H206" s="143">
        <v>400</v>
      </c>
      <c r="I206" s="143">
        <v>400</v>
      </c>
      <c r="J206" s="143">
        <v>400</v>
      </c>
      <c r="K206" s="143">
        <v>400</v>
      </c>
      <c r="L206" s="143">
        <v>400</v>
      </c>
      <c r="M206" s="143">
        <v>400</v>
      </c>
      <c r="N206" s="143">
        <v>400</v>
      </c>
      <c r="O206" s="143">
        <v>400</v>
      </c>
      <c r="P206" s="143">
        <v>400</v>
      </c>
      <c r="Q206" s="143">
        <v>400</v>
      </c>
      <c r="R206" s="160">
        <f t="shared" si="338"/>
        <v>0</v>
      </c>
      <c r="S206" s="161"/>
      <c r="T206" s="249">
        <v>400</v>
      </c>
    </row>
    <row r="207" spans="1:20" s="116" customFormat="1" ht="24" customHeight="1">
      <c r="A207" s="184">
        <v>46</v>
      </c>
      <c r="B207" s="185" t="s">
        <v>89</v>
      </c>
      <c r="C207" s="186" t="s">
        <v>77</v>
      </c>
      <c r="D207" s="187">
        <v>3.5765354838796299</v>
      </c>
      <c r="E207" s="187">
        <v>3.5765354838796299</v>
      </c>
      <c r="F207" s="187">
        <v>3.5765354838796299</v>
      </c>
      <c r="G207" s="187">
        <v>3.5765354838796299</v>
      </c>
      <c r="H207" s="187">
        <v>3.5765354838796299</v>
      </c>
      <c r="I207" s="187">
        <v>3.5765354838796299</v>
      </c>
      <c r="J207" s="187">
        <v>3.5765354838796299</v>
      </c>
      <c r="K207" s="187">
        <v>3.5765354838796299</v>
      </c>
      <c r="L207" s="187">
        <v>3.5765354838796299</v>
      </c>
      <c r="M207" s="187">
        <v>3.5765354838796299</v>
      </c>
      <c r="N207" s="187">
        <v>3.5765354838796299</v>
      </c>
      <c r="O207" s="187">
        <v>3.5765354838796299</v>
      </c>
      <c r="P207" s="187">
        <v>3.5765354838796299</v>
      </c>
      <c r="Q207" s="187">
        <v>3.5765354838796299</v>
      </c>
      <c r="R207" s="160">
        <f>D207-Q207</f>
        <v>0</v>
      </c>
      <c r="S207" s="161"/>
      <c r="T207" s="265">
        <v>3.5765354838796299</v>
      </c>
    </row>
    <row r="208" spans="1:20" s="119" customFormat="1" ht="20.100000000000001" customHeight="1">
      <c r="A208" s="184">
        <v>47</v>
      </c>
      <c r="B208" s="188" t="s">
        <v>90</v>
      </c>
      <c r="C208" s="186" t="s">
        <v>91</v>
      </c>
      <c r="D208" s="189">
        <f>'表2-财务收支表'!B4/$D$224</f>
        <v>271.35985884442027</v>
      </c>
      <c r="E208" s="189">
        <f>'表2-财务收支表'!C4/$D$224</f>
        <v>17.45271028611705</v>
      </c>
      <c r="F208" s="189">
        <f>'表2-财务收支表'!D4/$D$224</f>
        <v>22.957180282933312</v>
      </c>
      <c r="G208" s="189">
        <f>'表2-财务收支表'!E4/$D$224</f>
        <v>18.290998992860331</v>
      </c>
      <c r="H208" s="189">
        <f>'表2-财务收支表'!F4/$D$224</f>
        <v>19.709895102483351</v>
      </c>
      <c r="I208" s="189">
        <f>'表2-财务收支表'!G4/$D$224</f>
        <v>17.44982648796876</v>
      </c>
      <c r="J208" s="189">
        <f>'表2-财务收支表'!H4/$D$224</f>
        <v>18.848023802015909</v>
      </c>
      <c r="K208" s="189">
        <f>'表2-财务收支表'!I4/$D$224</f>
        <v>26.646838407329646</v>
      </c>
      <c r="L208" s="189">
        <f>'表2-财务收支表'!J4/$D$224</f>
        <v>31.501487703668751</v>
      </c>
      <c r="M208" s="189">
        <f>'表2-财务收支表'!K4/$D$224</f>
        <v>21.808675931589647</v>
      </c>
      <c r="N208" s="189">
        <f>'表2-财务收支表'!L4/$D$224</f>
        <v>24.900962141171473</v>
      </c>
      <c r="O208" s="189">
        <f>'表2-财务收支表'!M4/$D$224</f>
        <v>19.931104362857678</v>
      </c>
      <c r="P208" s="189">
        <f>'表2-财务收支表'!N4/$D$224</f>
        <v>19.959678153121612</v>
      </c>
      <c r="Q208" s="189">
        <f>'表2-财务收支表'!O4/$D$224</f>
        <v>259.45738165411751</v>
      </c>
      <c r="R208" s="160">
        <f t="shared" si="338"/>
        <v>11.902477190302761</v>
      </c>
      <c r="S208" s="161"/>
      <c r="T208" s="266">
        <f>E208+F208+G208</f>
        <v>58.700889561910692</v>
      </c>
    </row>
    <row r="209" spans="1:244" s="119" customFormat="1" ht="20.100000000000001" customHeight="1">
      <c r="A209" s="184">
        <v>48</v>
      </c>
      <c r="B209" s="188" t="s">
        <v>92</v>
      </c>
      <c r="C209" s="186" t="s">
        <v>91</v>
      </c>
      <c r="D209" s="189">
        <f>'表2-财务收支表'!B35/$D$224</f>
        <v>17.518855602305294</v>
      </c>
      <c r="E209" s="236">
        <f>'表2-财务收支表'!C35/$D$224</f>
        <v>-0.69610562024495004</v>
      </c>
      <c r="F209" s="236">
        <f>'表2-财务收支表'!D35/$D$224</f>
        <v>3.4843640948356769</v>
      </c>
      <c r="G209" s="236">
        <f>'表2-财务收支表'!E35/$D$224</f>
        <v>-0.10771436653862475</v>
      </c>
      <c r="H209" s="236">
        <f>'表2-财务收支表'!F35/$D$224</f>
        <v>1.1344735664067156</v>
      </c>
      <c r="I209" s="236">
        <f>'表2-财务收支表'!G35/$D$224</f>
        <v>-0.6610064708302561</v>
      </c>
      <c r="J209" s="236">
        <f>'表2-财务收支表'!H35/$D$224</f>
        <v>0.60650496510259833</v>
      </c>
      <c r="K209" s="236">
        <f>'表2-财务收支表'!I35/$D$224</f>
        <v>5.6906072894466231</v>
      </c>
      <c r="L209" s="236">
        <f>'表2-财务收支表'!J35/$D$224</f>
        <v>7.2808280425492917</v>
      </c>
      <c r="M209" s="236">
        <f>'表2-财务收支表'!K35/$D$224</f>
        <v>0.4352520112007478</v>
      </c>
      <c r="N209" s="236">
        <f>'表2-财务收支表'!L35/$D$224</f>
        <v>2.1035440784358288</v>
      </c>
      <c r="O209" s="236">
        <f>'表2-财务收支表'!M35/$D$224</f>
        <v>-1.1724047917963434</v>
      </c>
      <c r="P209" s="236">
        <f>'表2-财务收支表'!N35/$D$224</f>
        <v>-0.57948719626193634</v>
      </c>
      <c r="Q209" s="189">
        <f>'表2-财务收支表'!O35/$D$224</f>
        <v>17.518855602305372</v>
      </c>
      <c r="R209" s="160">
        <f>D209-Q209</f>
        <v>-7.815970093361102E-14</v>
      </c>
      <c r="S209" s="161"/>
      <c r="T209" s="266">
        <f>E209+F209+G209</f>
        <v>2.6805441080521017</v>
      </c>
    </row>
    <row r="210" spans="1:244" s="119" customFormat="1" ht="37.5" customHeight="1">
      <c r="A210" s="184">
        <v>49</v>
      </c>
      <c r="B210" s="179" t="s">
        <v>93</v>
      </c>
      <c r="C210" s="190" t="s">
        <v>94</v>
      </c>
      <c r="D210" s="191">
        <f>SUM(D211:D214)</f>
        <v>12049.999999999995</v>
      </c>
      <c r="E210" s="191">
        <f>SUM(E211:E214)</f>
        <v>868</v>
      </c>
      <c r="F210" s="191">
        <f>SUM(F211:F214)</f>
        <v>812</v>
      </c>
      <c r="G210" s="191">
        <f t="shared" ref="G210:Q210" si="341">SUM(G211:G214)</f>
        <v>868</v>
      </c>
      <c r="H210" s="191">
        <f t="shared" si="341"/>
        <v>855</v>
      </c>
      <c r="I210" s="191">
        <f t="shared" si="341"/>
        <v>910</v>
      </c>
      <c r="J210" s="191">
        <f t="shared" si="341"/>
        <v>900</v>
      </c>
      <c r="K210" s="191">
        <f t="shared" si="341"/>
        <v>930</v>
      </c>
      <c r="L210" s="191">
        <f t="shared" si="341"/>
        <v>1023</v>
      </c>
      <c r="M210" s="191">
        <f t="shared" si="341"/>
        <v>1050</v>
      </c>
      <c r="N210" s="191">
        <f t="shared" si="341"/>
        <v>1116</v>
      </c>
      <c r="O210" s="191">
        <f t="shared" si="341"/>
        <v>1080</v>
      </c>
      <c r="P210" s="191">
        <f t="shared" si="341"/>
        <v>1116</v>
      </c>
      <c r="Q210" s="129">
        <f t="shared" si="341"/>
        <v>11528</v>
      </c>
      <c r="R210" s="160">
        <f t="shared" si="338"/>
        <v>521.99999999999454</v>
      </c>
      <c r="S210" s="161"/>
      <c r="T210" s="267">
        <f>E210+F210+G210+H210+I210+J210</f>
        <v>5213</v>
      </c>
      <c r="U210" s="198">
        <f>T33</f>
        <v>58928.75613234075</v>
      </c>
    </row>
    <row r="211" spans="1:244" customFormat="1" ht="20.100000000000001" customHeight="1">
      <c r="A211" s="184"/>
      <c r="B211" s="134" t="s">
        <v>22</v>
      </c>
      <c r="C211" s="192"/>
      <c r="D211" s="189">
        <f>D9*D$2</f>
        <v>3873.9999999999955</v>
      </c>
      <c r="E211" s="193">
        <f>E2*E9</f>
        <v>310</v>
      </c>
      <c r="F211" s="193">
        <f>F2*F9</f>
        <v>290</v>
      </c>
      <c r="G211" s="193">
        <f>G2*G9</f>
        <v>310</v>
      </c>
      <c r="H211" s="193">
        <f>H2*H9</f>
        <v>315</v>
      </c>
      <c r="I211" s="193">
        <f t="shared" ref="I211:P211" si="342">I2*I9</f>
        <v>352</v>
      </c>
      <c r="J211" s="193">
        <f t="shared" si="342"/>
        <v>360</v>
      </c>
      <c r="K211" s="193">
        <f t="shared" si="342"/>
        <v>372</v>
      </c>
      <c r="L211" s="193">
        <f t="shared" si="342"/>
        <v>310</v>
      </c>
      <c r="M211" s="193">
        <f t="shared" si="342"/>
        <v>330</v>
      </c>
      <c r="N211" s="193">
        <f t="shared" si="342"/>
        <v>372</v>
      </c>
      <c r="O211" s="193">
        <f t="shared" si="342"/>
        <v>360</v>
      </c>
      <c r="P211" s="193">
        <f t="shared" si="342"/>
        <v>372</v>
      </c>
      <c r="Q211" s="199">
        <f>SUM(E211:P211)</f>
        <v>4053</v>
      </c>
      <c r="R211" s="160">
        <f t="shared" si="338"/>
        <v>-179.00000000000455</v>
      </c>
      <c r="S211" s="161"/>
      <c r="T211" s="267">
        <f>E211+F211+G211+H211+I211+J211</f>
        <v>1937</v>
      </c>
      <c r="U211" s="283">
        <f>U210/T210</f>
        <v>11.304192620821167</v>
      </c>
      <c r="V211" s="119"/>
    </row>
    <row r="212" spans="1:244" customFormat="1" ht="20.100000000000001" customHeight="1">
      <c r="A212" s="184"/>
      <c r="B212" s="134" t="s">
        <v>23</v>
      </c>
      <c r="C212" s="192"/>
      <c r="D212" s="189">
        <f>D10*D$2</f>
        <v>4697.9999999999991</v>
      </c>
      <c r="E212" s="193">
        <f>E2*E10</f>
        <v>341</v>
      </c>
      <c r="F212" s="193">
        <f t="shared" ref="F212" si="343">F2*F10</f>
        <v>319</v>
      </c>
      <c r="G212" s="193">
        <f t="shared" ref="G212:P212" si="344">G2*G10</f>
        <v>341</v>
      </c>
      <c r="H212" s="193">
        <f>H2*H10</f>
        <v>330</v>
      </c>
      <c r="I212" s="193">
        <f t="shared" si="344"/>
        <v>341</v>
      </c>
      <c r="J212" s="193">
        <f t="shared" si="344"/>
        <v>330</v>
      </c>
      <c r="K212" s="193">
        <f t="shared" si="344"/>
        <v>341</v>
      </c>
      <c r="L212" s="193">
        <f t="shared" si="344"/>
        <v>403</v>
      </c>
      <c r="M212" s="193">
        <f t="shared" si="344"/>
        <v>420</v>
      </c>
      <c r="N212" s="193">
        <f t="shared" si="344"/>
        <v>434</v>
      </c>
      <c r="O212" s="193">
        <f t="shared" si="344"/>
        <v>420</v>
      </c>
      <c r="P212" s="193">
        <f t="shared" si="344"/>
        <v>434</v>
      </c>
      <c r="Q212" s="199">
        <f t="shared" ref="Q212" si="345">SUM(E212:P212)</f>
        <v>4454</v>
      </c>
      <c r="R212" s="160">
        <f t="shared" si="338"/>
        <v>243.99999999999909</v>
      </c>
      <c r="S212" s="161"/>
      <c r="T212" s="267">
        <f t="shared" ref="T212:T219" si="346">E212+F212+G212+H212+I212+J212</f>
        <v>2002</v>
      </c>
      <c r="U212" s="198"/>
      <c r="V212" s="119"/>
    </row>
    <row r="213" spans="1:244" customFormat="1" ht="20.100000000000001" customHeight="1">
      <c r="A213" s="184"/>
      <c r="B213" s="134" t="s">
        <v>24</v>
      </c>
      <c r="C213" s="192"/>
      <c r="D213" s="189">
        <f>D11*D$2</f>
        <v>1098</v>
      </c>
      <c r="E213" s="193">
        <f>E2*E11</f>
        <v>93</v>
      </c>
      <c r="F213" s="193">
        <f t="shared" ref="F213" si="347">F2*F11</f>
        <v>87</v>
      </c>
      <c r="G213" s="193">
        <f t="shared" ref="G213:P213" si="348">G2*G11</f>
        <v>93</v>
      </c>
      <c r="H213" s="193">
        <f t="shared" si="348"/>
        <v>90</v>
      </c>
      <c r="I213" s="193">
        <f t="shared" si="348"/>
        <v>93</v>
      </c>
      <c r="J213" s="193">
        <f t="shared" si="348"/>
        <v>90</v>
      </c>
      <c r="K213" s="193">
        <f t="shared" si="348"/>
        <v>93</v>
      </c>
      <c r="L213" s="193">
        <f t="shared" si="348"/>
        <v>93</v>
      </c>
      <c r="M213" s="193">
        <f t="shared" si="348"/>
        <v>90</v>
      </c>
      <c r="N213" s="193">
        <f t="shared" si="348"/>
        <v>93</v>
      </c>
      <c r="O213" s="193">
        <f t="shared" si="348"/>
        <v>90</v>
      </c>
      <c r="P213" s="193">
        <f t="shared" si="348"/>
        <v>93</v>
      </c>
      <c r="Q213" s="199">
        <f>SUM(E213:P213)</f>
        <v>1098</v>
      </c>
      <c r="R213" s="160">
        <f t="shared" si="338"/>
        <v>0</v>
      </c>
      <c r="S213" s="161"/>
      <c r="T213" s="267">
        <f t="shared" si="346"/>
        <v>546</v>
      </c>
      <c r="U213" s="198"/>
      <c r="V213" s="119"/>
    </row>
    <row r="214" spans="1:244" customFormat="1" ht="20.100000000000001" customHeight="1">
      <c r="A214" s="184"/>
      <c r="B214" s="134" t="s">
        <v>25</v>
      </c>
      <c r="C214" s="192"/>
      <c r="D214" s="189">
        <f>D12*D$2</f>
        <v>2380.0000000000005</v>
      </c>
      <c r="E214" s="193">
        <f>E2*E12</f>
        <v>124</v>
      </c>
      <c r="F214" s="193">
        <f>F2*F12</f>
        <v>116</v>
      </c>
      <c r="G214" s="193">
        <f t="shared" ref="G214" si="349">G2*G12</f>
        <v>124</v>
      </c>
      <c r="H214" s="193">
        <f t="shared" ref="H214:P214" si="350">H2*H12</f>
        <v>120</v>
      </c>
      <c r="I214" s="193">
        <f t="shared" si="350"/>
        <v>124</v>
      </c>
      <c r="J214" s="193">
        <f t="shared" si="350"/>
        <v>120</v>
      </c>
      <c r="K214" s="193">
        <f t="shared" si="350"/>
        <v>124</v>
      </c>
      <c r="L214" s="193">
        <f t="shared" si="350"/>
        <v>217</v>
      </c>
      <c r="M214" s="193">
        <f t="shared" si="350"/>
        <v>210</v>
      </c>
      <c r="N214" s="193">
        <f t="shared" si="350"/>
        <v>217</v>
      </c>
      <c r="O214" s="193">
        <f t="shared" si="350"/>
        <v>210</v>
      </c>
      <c r="P214" s="193">
        <f t="shared" si="350"/>
        <v>217</v>
      </c>
      <c r="Q214" s="199">
        <f>SUM(E214:P214)</f>
        <v>1923</v>
      </c>
      <c r="R214" s="160">
        <f t="shared" si="338"/>
        <v>457.00000000000045</v>
      </c>
      <c r="S214" s="161"/>
      <c r="T214" s="267">
        <f t="shared" si="346"/>
        <v>728</v>
      </c>
      <c r="U214" s="198"/>
      <c r="V214" s="119"/>
    </row>
    <row r="215" spans="1:244" customFormat="1" ht="14.25">
      <c r="A215" s="184">
        <v>50</v>
      </c>
      <c r="B215" s="179" t="s">
        <v>95</v>
      </c>
      <c r="C215" s="190" t="s">
        <v>45</v>
      </c>
      <c r="D215" s="194">
        <f>D118/D8</f>
        <v>15699.477898266858</v>
      </c>
      <c r="E215" s="194">
        <f>E118/E8</f>
        <v>1160.9078775797893</v>
      </c>
      <c r="F215" s="194">
        <f>F118/F8</f>
        <v>1568.3700202095222</v>
      </c>
      <c r="G215" s="194">
        <f t="shared" ref="G215:P215" si="351">G118/G8</f>
        <v>1217.214213775738</v>
      </c>
      <c r="H215" s="194">
        <f t="shared" si="351"/>
        <v>1307.7119370163755</v>
      </c>
      <c r="I215" s="194">
        <f t="shared" si="351"/>
        <v>1117.3508156638056</v>
      </c>
      <c r="J215" s="194">
        <f t="shared" si="351"/>
        <v>1164.8682534677273</v>
      </c>
      <c r="K215" s="194">
        <f t="shared" si="351"/>
        <v>1723.1225604886431</v>
      </c>
      <c r="L215" s="194">
        <f t="shared" si="351"/>
        <v>1860.6962244647727</v>
      </c>
      <c r="M215" s="194">
        <f t="shared" si="351"/>
        <v>1177.6386246622656</v>
      </c>
      <c r="N215" s="194">
        <f t="shared" si="351"/>
        <v>1325.053452287304</v>
      </c>
      <c r="O215" s="194">
        <f t="shared" si="351"/>
        <v>1048.950242380982</v>
      </c>
      <c r="P215" s="194">
        <f t="shared" si="351"/>
        <v>1049.4821196178673</v>
      </c>
      <c r="Q215" s="129">
        <f>Q118/Q8</f>
        <v>15654.588425643133</v>
      </c>
      <c r="R215" s="160">
        <f>D215-Q215</f>
        <v>44.889472623724942</v>
      </c>
      <c r="S215" s="161"/>
      <c r="T215" s="267">
        <f t="shared" si="346"/>
        <v>7536.4231177129577</v>
      </c>
    </row>
    <row r="216" spans="1:244" ht="24" customHeight="1">
      <c r="A216" s="184"/>
      <c r="B216" s="134" t="s">
        <v>22</v>
      </c>
      <c r="C216" s="184"/>
      <c r="D216" s="189">
        <f>D119/D9</f>
        <v>16040.182213229629</v>
      </c>
      <c r="E216" s="189">
        <f>E119/E9</f>
        <v>1172.9225305092655</v>
      </c>
      <c r="F216" s="189">
        <f t="shared" ref="F216" si="352">F119/F9</f>
        <v>1605.4556386043796</v>
      </c>
      <c r="G216" s="189">
        <f t="shared" ref="G216:Q216" si="353">G119/G9</f>
        <v>1254.9927303283459</v>
      </c>
      <c r="H216" s="189">
        <f t="shared" si="353"/>
        <v>1329.9601161831495</v>
      </c>
      <c r="I216" s="189">
        <f t="shared" si="353"/>
        <v>1139.1901242792057</v>
      </c>
      <c r="J216" s="189">
        <f t="shared" si="353"/>
        <v>1196.2584106335737</v>
      </c>
      <c r="K216" s="189">
        <f t="shared" si="353"/>
        <v>1750.3275474664517</v>
      </c>
      <c r="L216" s="189">
        <f t="shared" si="353"/>
        <v>1888.4545358075684</v>
      </c>
      <c r="M216" s="189">
        <f t="shared" si="353"/>
        <v>1196.5202152837285</v>
      </c>
      <c r="N216" s="189">
        <f t="shared" si="353"/>
        <v>1350.5420820866925</v>
      </c>
      <c r="O216" s="189">
        <f t="shared" si="353"/>
        <v>1112.9334804179462</v>
      </c>
      <c r="P216" s="189">
        <f t="shared" si="353"/>
        <v>1140.1218709124014</v>
      </c>
      <c r="Q216" s="189">
        <f t="shared" si="353"/>
        <v>16063.37054675814</v>
      </c>
      <c r="R216" s="160">
        <f t="shared" si="338"/>
        <v>-23.188333528511066</v>
      </c>
      <c r="S216" s="161"/>
      <c r="T216" s="267">
        <f t="shared" si="346"/>
        <v>7698.7795505379199</v>
      </c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  <c r="BO216" s="124"/>
      <c r="BP216" s="124"/>
      <c r="BQ216" s="124"/>
      <c r="BR216" s="124"/>
      <c r="BS216" s="124"/>
      <c r="BT216" s="124"/>
      <c r="BU216" s="124"/>
      <c r="BV216" s="124"/>
      <c r="BW216" s="124"/>
      <c r="BX216" s="124"/>
      <c r="BY216" s="124"/>
      <c r="BZ216" s="124"/>
      <c r="CA216" s="124"/>
      <c r="CB216" s="124"/>
      <c r="CC216" s="124"/>
      <c r="CD216" s="124"/>
      <c r="CE216" s="124"/>
      <c r="CF216" s="124"/>
      <c r="CG216" s="124"/>
      <c r="CH216" s="124"/>
      <c r="CI216" s="124"/>
      <c r="CJ216" s="124"/>
      <c r="CK216" s="124"/>
      <c r="CL216" s="124"/>
      <c r="CM216" s="124"/>
      <c r="CN216" s="124"/>
      <c r="CO216" s="124"/>
      <c r="CP216" s="124"/>
      <c r="CQ216" s="124"/>
      <c r="CR216" s="124"/>
      <c r="CS216" s="124"/>
      <c r="CT216" s="124"/>
      <c r="CU216" s="124"/>
      <c r="CV216" s="124"/>
      <c r="CW216" s="124"/>
      <c r="CX216" s="124"/>
      <c r="CY216" s="124"/>
      <c r="CZ216" s="124"/>
      <c r="DA216" s="124"/>
      <c r="DB216" s="124"/>
      <c r="DC216" s="124"/>
      <c r="DD216" s="124"/>
      <c r="DE216" s="124"/>
      <c r="DF216" s="124"/>
      <c r="DG216" s="124"/>
      <c r="DH216" s="124"/>
      <c r="DI216" s="124"/>
      <c r="DJ216" s="124"/>
      <c r="DK216" s="124"/>
      <c r="DL216" s="124"/>
      <c r="DM216" s="124"/>
      <c r="DN216" s="124"/>
      <c r="DO216" s="124"/>
      <c r="DP216" s="124"/>
      <c r="DQ216" s="124"/>
      <c r="DR216" s="124"/>
      <c r="DS216" s="124"/>
      <c r="DT216" s="124"/>
      <c r="DU216" s="124"/>
      <c r="DV216" s="124"/>
      <c r="DW216" s="124"/>
      <c r="DX216" s="124"/>
      <c r="DY216" s="124"/>
      <c r="DZ216" s="124"/>
      <c r="EA216" s="124"/>
      <c r="EB216" s="124"/>
      <c r="EC216" s="124"/>
      <c r="ED216" s="124"/>
      <c r="EE216" s="124"/>
      <c r="EF216" s="124"/>
      <c r="EG216" s="124"/>
      <c r="EH216" s="124"/>
      <c r="EI216" s="124"/>
      <c r="EJ216" s="124"/>
      <c r="EK216" s="124"/>
      <c r="EL216" s="124"/>
      <c r="EM216" s="124"/>
      <c r="EN216" s="124"/>
      <c r="EO216" s="124"/>
      <c r="EP216" s="124"/>
      <c r="EQ216" s="124"/>
      <c r="ER216" s="124"/>
      <c r="ES216" s="124"/>
      <c r="ET216" s="124"/>
      <c r="EU216" s="124"/>
      <c r="EV216" s="124"/>
      <c r="EW216" s="124"/>
      <c r="EX216" s="124"/>
      <c r="EY216" s="124"/>
      <c r="EZ216" s="124"/>
      <c r="FA216" s="124"/>
      <c r="FB216" s="124"/>
      <c r="FC216" s="124"/>
      <c r="FD216" s="124"/>
      <c r="FE216" s="124"/>
      <c r="FF216" s="124"/>
      <c r="FG216" s="124"/>
      <c r="FH216" s="124"/>
      <c r="FI216" s="124"/>
      <c r="FJ216" s="124"/>
      <c r="FK216" s="124"/>
      <c r="FL216" s="124"/>
      <c r="FM216" s="124"/>
      <c r="FN216" s="124"/>
      <c r="FO216" s="124"/>
      <c r="FP216" s="124"/>
      <c r="FQ216" s="124"/>
      <c r="FR216" s="124"/>
      <c r="FS216" s="124"/>
      <c r="FT216" s="124"/>
      <c r="FU216" s="124"/>
      <c r="FV216" s="124"/>
      <c r="FW216" s="124"/>
      <c r="FX216" s="124"/>
      <c r="FY216" s="124"/>
      <c r="FZ216" s="124"/>
      <c r="GA216" s="124"/>
      <c r="GB216" s="124"/>
      <c r="GC216" s="124"/>
      <c r="GD216" s="124"/>
      <c r="GE216" s="124"/>
      <c r="GF216" s="124"/>
      <c r="GG216" s="124"/>
      <c r="GH216" s="124"/>
      <c r="GI216" s="124"/>
      <c r="GJ216" s="124"/>
      <c r="GK216" s="124"/>
      <c r="GL216" s="124"/>
      <c r="GM216" s="124"/>
      <c r="GN216" s="124"/>
      <c r="GO216" s="124"/>
      <c r="GP216" s="124"/>
      <c r="GQ216" s="124"/>
      <c r="GR216" s="124"/>
      <c r="GS216" s="124"/>
      <c r="GT216" s="124"/>
      <c r="GU216" s="124"/>
      <c r="GV216" s="124"/>
      <c r="GW216" s="124"/>
      <c r="GX216" s="124"/>
      <c r="GY216" s="124"/>
      <c r="GZ216" s="124"/>
      <c r="HA216" s="124"/>
      <c r="HB216" s="124"/>
      <c r="HC216" s="124"/>
      <c r="HD216" s="124"/>
      <c r="HE216" s="124"/>
      <c r="HF216" s="124"/>
      <c r="HG216" s="124"/>
      <c r="HH216" s="124"/>
      <c r="HI216" s="124"/>
      <c r="HJ216" s="124"/>
      <c r="HK216" s="124"/>
      <c r="HL216" s="124"/>
      <c r="HM216" s="124"/>
      <c r="HN216" s="124"/>
      <c r="HO216" s="124"/>
      <c r="HP216" s="124"/>
      <c r="HQ216" s="124"/>
      <c r="HR216" s="124"/>
      <c r="HS216" s="124"/>
      <c r="HT216" s="124"/>
      <c r="HU216" s="124"/>
      <c r="HV216" s="124"/>
      <c r="HW216" s="124"/>
      <c r="HX216" s="124"/>
      <c r="HY216" s="124"/>
      <c r="HZ216" s="124"/>
      <c r="IA216" s="124"/>
      <c r="IB216" s="124"/>
      <c r="IC216" s="124"/>
      <c r="ID216" s="124"/>
      <c r="IE216" s="124"/>
      <c r="IF216" s="124"/>
      <c r="IG216" s="124"/>
      <c r="IH216" s="124"/>
      <c r="II216" s="124"/>
      <c r="IJ216" s="124"/>
    </row>
    <row r="217" spans="1:244" ht="24" customHeight="1">
      <c r="A217" s="184"/>
      <c r="B217" s="134" t="s">
        <v>23</v>
      </c>
      <c r="C217" s="184"/>
      <c r="D217" s="189">
        <f t="shared" ref="D217" si="354">D120/D10</f>
        <v>15254.081870185462</v>
      </c>
      <c r="E217" s="189">
        <f t="shared" ref="E217:F219" si="355">E120/E10</f>
        <v>1115.4538127532146</v>
      </c>
      <c r="F217" s="189">
        <f t="shared" si="355"/>
        <v>1529.1536458479479</v>
      </c>
      <c r="G217" s="189">
        <f t="shared" ref="G217:Q217" si="356">G120/G10</f>
        <v>1193.8854826981292</v>
      </c>
      <c r="H217" s="189">
        <f t="shared" si="356"/>
        <v>1263.7025329240062</v>
      </c>
      <c r="I217" s="189">
        <f t="shared" si="356"/>
        <v>1081.1495794391992</v>
      </c>
      <c r="J217" s="189">
        <f t="shared" si="356"/>
        <v>1135.9301783562692</v>
      </c>
      <c r="K217" s="189">
        <f t="shared" si="356"/>
        <v>1665.1840922629474</v>
      </c>
      <c r="L217" s="189">
        <f t="shared" si="356"/>
        <v>1797.1830300852125</v>
      </c>
      <c r="M217" s="189">
        <f t="shared" si="356"/>
        <v>1137.056251143485</v>
      </c>
      <c r="N217" s="189">
        <f t="shared" si="356"/>
        <v>1285.4630106116201</v>
      </c>
      <c r="O217" s="189">
        <f t="shared" si="356"/>
        <v>1058.5628851073241</v>
      </c>
      <c r="P217" s="189">
        <f t="shared" si="356"/>
        <v>1041.6343123656295</v>
      </c>
      <c r="Q217" s="189">
        <f t="shared" si="356"/>
        <v>15244.01195190575</v>
      </c>
      <c r="R217" s="160">
        <f t="shared" si="338"/>
        <v>10.06991827971251</v>
      </c>
      <c r="S217" s="161"/>
      <c r="T217" s="267">
        <f t="shared" si="346"/>
        <v>7319.2752320187665</v>
      </c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  <c r="BO217" s="124"/>
      <c r="BP217" s="124"/>
      <c r="BQ217" s="124"/>
      <c r="BR217" s="124"/>
      <c r="BS217" s="124"/>
      <c r="BT217" s="124"/>
      <c r="BU217" s="124"/>
      <c r="BV217" s="124"/>
      <c r="BW217" s="124"/>
      <c r="BX217" s="124"/>
      <c r="BY217" s="124"/>
      <c r="BZ217" s="124"/>
      <c r="CA217" s="124"/>
      <c r="CB217" s="124"/>
      <c r="CC217" s="124"/>
      <c r="CD217" s="124"/>
      <c r="CE217" s="124"/>
      <c r="CF217" s="124"/>
      <c r="CG217" s="124"/>
      <c r="CH217" s="124"/>
      <c r="CI217" s="124"/>
      <c r="CJ217" s="124"/>
      <c r="CK217" s="124"/>
      <c r="CL217" s="124"/>
      <c r="CM217" s="124"/>
      <c r="CN217" s="124"/>
      <c r="CO217" s="124"/>
      <c r="CP217" s="124"/>
      <c r="CQ217" s="124"/>
      <c r="CR217" s="124"/>
      <c r="CS217" s="124"/>
      <c r="CT217" s="124"/>
      <c r="CU217" s="124"/>
      <c r="CV217" s="124"/>
      <c r="CW217" s="124"/>
      <c r="CX217" s="124"/>
      <c r="CY217" s="124"/>
      <c r="CZ217" s="124"/>
      <c r="DA217" s="124"/>
      <c r="DB217" s="124"/>
      <c r="DC217" s="124"/>
      <c r="DD217" s="124"/>
      <c r="DE217" s="124"/>
      <c r="DF217" s="124"/>
      <c r="DG217" s="124"/>
      <c r="DH217" s="124"/>
      <c r="DI217" s="124"/>
      <c r="DJ217" s="124"/>
      <c r="DK217" s="124"/>
      <c r="DL217" s="124"/>
      <c r="DM217" s="124"/>
      <c r="DN217" s="124"/>
      <c r="DO217" s="124"/>
      <c r="DP217" s="124"/>
      <c r="DQ217" s="124"/>
      <c r="DR217" s="124"/>
      <c r="DS217" s="124"/>
      <c r="DT217" s="124"/>
      <c r="DU217" s="124"/>
      <c r="DV217" s="124"/>
      <c r="DW217" s="124"/>
      <c r="DX217" s="124"/>
      <c r="DY217" s="124"/>
      <c r="DZ217" s="124"/>
      <c r="EA217" s="124"/>
      <c r="EB217" s="124"/>
      <c r="EC217" s="124"/>
      <c r="ED217" s="124"/>
      <c r="EE217" s="124"/>
      <c r="EF217" s="124"/>
      <c r="EG217" s="124"/>
      <c r="EH217" s="124"/>
      <c r="EI217" s="124"/>
      <c r="EJ217" s="124"/>
      <c r="EK217" s="124"/>
      <c r="EL217" s="124"/>
      <c r="EM217" s="124"/>
      <c r="EN217" s="124"/>
      <c r="EO217" s="124"/>
      <c r="EP217" s="124"/>
      <c r="EQ217" s="124"/>
      <c r="ER217" s="124"/>
      <c r="ES217" s="124"/>
      <c r="ET217" s="124"/>
      <c r="EU217" s="124"/>
      <c r="EV217" s="124"/>
      <c r="EW217" s="124"/>
      <c r="EX217" s="124"/>
      <c r="EY217" s="124"/>
      <c r="EZ217" s="124"/>
      <c r="FA217" s="124"/>
      <c r="FB217" s="124"/>
      <c r="FC217" s="124"/>
      <c r="FD217" s="124"/>
      <c r="FE217" s="124"/>
      <c r="FF217" s="124"/>
      <c r="FG217" s="124"/>
      <c r="FH217" s="124"/>
      <c r="FI217" s="124"/>
      <c r="FJ217" s="124"/>
      <c r="FK217" s="124"/>
      <c r="FL217" s="124"/>
      <c r="FM217" s="124"/>
      <c r="FN217" s="124"/>
      <c r="FO217" s="124"/>
      <c r="FP217" s="124"/>
      <c r="FQ217" s="124"/>
      <c r="FR217" s="124"/>
      <c r="FS217" s="124"/>
      <c r="FT217" s="124"/>
      <c r="FU217" s="124"/>
      <c r="FV217" s="124"/>
      <c r="FW217" s="124"/>
      <c r="FX217" s="124"/>
      <c r="FY217" s="124"/>
      <c r="FZ217" s="124"/>
      <c r="GA217" s="124"/>
      <c r="GB217" s="124"/>
      <c r="GC217" s="124"/>
      <c r="GD217" s="124"/>
      <c r="GE217" s="124"/>
      <c r="GF217" s="124"/>
      <c r="GG217" s="124"/>
      <c r="GH217" s="124"/>
      <c r="GI217" s="124"/>
      <c r="GJ217" s="124"/>
      <c r="GK217" s="124"/>
      <c r="GL217" s="124"/>
      <c r="GM217" s="124"/>
      <c r="GN217" s="124"/>
      <c r="GO217" s="124"/>
      <c r="GP217" s="124"/>
      <c r="GQ217" s="124"/>
      <c r="GR217" s="124"/>
      <c r="GS217" s="124"/>
      <c r="GT217" s="124"/>
      <c r="GU217" s="124"/>
      <c r="GV217" s="124"/>
      <c r="GW217" s="124"/>
      <c r="GX217" s="124"/>
      <c r="GY217" s="124"/>
      <c r="GZ217" s="124"/>
      <c r="HA217" s="124"/>
      <c r="HB217" s="124"/>
      <c r="HC217" s="124"/>
      <c r="HD217" s="124"/>
      <c r="HE217" s="124"/>
      <c r="HF217" s="124"/>
      <c r="HG217" s="124"/>
      <c r="HH217" s="124"/>
      <c r="HI217" s="124"/>
      <c r="HJ217" s="124"/>
      <c r="HK217" s="124"/>
      <c r="HL217" s="124"/>
      <c r="HM217" s="124"/>
      <c r="HN217" s="124"/>
      <c r="HO217" s="124"/>
      <c r="HP217" s="124"/>
      <c r="HQ217" s="124"/>
      <c r="HR217" s="124"/>
      <c r="HS217" s="124"/>
      <c r="HT217" s="124"/>
      <c r="HU217" s="124"/>
      <c r="HV217" s="124"/>
      <c r="HW217" s="124"/>
      <c r="HX217" s="124"/>
      <c r="HY217" s="124"/>
      <c r="HZ217" s="124"/>
      <c r="IA217" s="124"/>
      <c r="IB217" s="124"/>
      <c r="IC217" s="124"/>
      <c r="ID217" s="124"/>
      <c r="IE217" s="124"/>
      <c r="IF217" s="124"/>
      <c r="IG217" s="124"/>
      <c r="IH217" s="124"/>
      <c r="II217" s="124"/>
      <c r="IJ217" s="124"/>
    </row>
    <row r="218" spans="1:244" ht="24" customHeight="1">
      <c r="A218" s="184"/>
      <c r="B218" s="134" t="s">
        <v>24</v>
      </c>
      <c r="C218" s="184"/>
      <c r="D218" s="189">
        <f t="shared" ref="D218" si="357">D121/D11</f>
        <v>14578.271800040406</v>
      </c>
      <c r="E218" s="189">
        <f t="shared" si="355"/>
        <v>1127.3483021604452</v>
      </c>
      <c r="F218" s="189">
        <f t="shared" si="355"/>
        <v>1482.8552224838159</v>
      </c>
      <c r="G218" s="189">
        <f t="shared" ref="G218:Q218" si="358">G121/G11</f>
        <v>1113.1448593928051</v>
      </c>
      <c r="H218" s="189">
        <f t="shared" si="358"/>
        <v>1265.5586847237025</v>
      </c>
      <c r="I218" s="189">
        <f t="shared" si="358"/>
        <v>1056.3150834909493</v>
      </c>
      <c r="J218" s="189">
        <f t="shared" si="358"/>
        <v>1072.9018810476505</v>
      </c>
      <c r="K218" s="189">
        <f t="shared" si="358"/>
        <v>1642.6790900304502</v>
      </c>
      <c r="L218" s="189">
        <f t="shared" si="358"/>
        <v>1752.4813194996398</v>
      </c>
      <c r="M218" s="189">
        <f t="shared" si="358"/>
        <v>1109.7317955850647</v>
      </c>
      <c r="N218" s="189">
        <f t="shared" si="358"/>
        <v>1255.8910207678503</v>
      </c>
      <c r="O218" s="189">
        <f t="shared" si="358"/>
        <v>876.19776736689607</v>
      </c>
      <c r="P218" s="189">
        <f t="shared" si="358"/>
        <v>823.16677349113559</v>
      </c>
      <c r="Q218" s="189">
        <f t="shared" si="358"/>
        <v>14578.271800040404</v>
      </c>
      <c r="R218" s="160">
        <f t="shared" si="338"/>
        <v>0</v>
      </c>
      <c r="S218" s="161"/>
      <c r="T218" s="267">
        <f t="shared" si="346"/>
        <v>7118.1240332993693</v>
      </c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  <c r="BO218" s="124"/>
      <c r="BP218" s="124"/>
      <c r="BQ218" s="124"/>
      <c r="BR218" s="124"/>
      <c r="BS218" s="124"/>
      <c r="BT218" s="124"/>
      <c r="BU218" s="124"/>
      <c r="BV218" s="124"/>
      <c r="BW218" s="124"/>
      <c r="BX218" s="124"/>
      <c r="BY218" s="124"/>
      <c r="BZ218" s="124"/>
      <c r="CA218" s="124"/>
      <c r="CB218" s="124"/>
      <c r="CC218" s="124"/>
      <c r="CD218" s="124"/>
      <c r="CE218" s="124"/>
      <c r="CF218" s="124"/>
      <c r="CG218" s="124"/>
      <c r="CH218" s="124"/>
      <c r="CI218" s="124"/>
      <c r="CJ218" s="124"/>
      <c r="CK218" s="124"/>
      <c r="CL218" s="124"/>
      <c r="CM218" s="124"/>
      <c r="CN218" s="124"/>
      <c r="CO218" s="124"/>
      <c r="CP218" s="124"/>
      <c r="CQ218" s="124"/>
      <c r="CR218" s="124"/>
      <c r="CS218" s="124"/>
      <c r="CT218" s="124"/>
      <c r="CU218" s="124"/>
      <c r="CV218" s="124"/>
      <c r="CW218" s="124"/>
      <c r="CX218" s="124"/>
      <c r="CY218" s="124"/>
      <c r="CZ218" s="124"/>
      <c r="DA218" s="124"/>
      <c r="DB218" s="124"/>
      <c r="DC218" s="124"/>
      <c r="DD218" s="124"/>
      <c r="DE218" s="124"/>
      <c r="DF218" s="124"/>
      <c r="DG218" s="124"/>
      <c r="DH218" s="124"/>
      <c r="DI218" s="124"/>
      <c r="DJ218" s="124"/>
      <c r="DK218" s="124"/>
      <c r="DL218" s="124"/>
      <c r="DM218" s="124"/>
      <c r="DN218" s="124"/>
      <c r="DO218" s="124"/>
      <c r="DP218" s="124"/>
      <c r="DQ218" s="124"/>
      <c r="DR218" s="124"/>
      <c r="DS218" s="124"/>
      <c r="DT218" s="124"/>
      <c r="DU218" s="124"/>
      <c r="DV218" s="124"/>
      <c r="DW218" s="124"/>
      <c r="DX218" s="124"/>
      <c r="DY218" s="124"/>
      <c r="DZ218" s="124"/>
      <c r="EA218" s="124"/>
      <c r="EB218" s="124"/>
      <c r="EC218" s="124"/>
      <c r="ED218" s="124"/>
      <c r="EE218" s="124"/>
      <c r="EF218" s="124"/>
      <c r="EG218" s="124"/>
      <c r="EH218" s="124"/>
      <c r="EI218" s="124"/>
      <c r="EJ218" s="124"/>
      <c r="EK218" s="124"/>
      <c r="EL218" s="124"/>
      <c r="EM218" s="124"/>
      <c r="EN218" s="124"/>
      <c r="EO218" s="124"/>
      <c r="EP218" s="124"/>
      <c r="EQ218" s="124"/>
      <c r="ER218" s="124"/>
      <c r="ES218" s="124"/>
      <c r="ET218" s="124"/>
      <c r="EU218" s="124"/>
      <c r="EV218" s="124"/>
      <c r="EW218" s="124"/>
      <c r="EX218" s="124"/>
      <c r="EY218" s="124"/>
      <c r="EZ218" s="124"/>
      <c r="FA218" s="124"/>
      <c r="FB218" s="124"/>
      <c r="FC218" s="124"/>
      <c r="FD218" s="124"/>
      <c r="FE218" s="124"/>
      <c r="FF218" s="124"/>
      <c r="FG218" s="124"/>
      <c r="FH218" s="124"/>
      <c r="FI218" s="124"/>
      <c r="FJ218" s="124"/>
      <c r="FK218" s="124"/>
      <c r="FL218" s="124"/>
      <c r="FM218" s="124"/>
      <c r="FN218" s="124"/>
      <c r="FO218" s="124"/>
      <c r="FP218" s="124"/>
      <c r="FQ218" s="124"/>
      <c r="FR218" s="124"/>
      <c r="FS218" s="124"/>
      <c r="FT218" s="124"/>
      <c r="FU218" s="124"/>
      <c r="FV218" s="124"/>
      <c r="FW218" s="124"/>
      <c r="FX218" s="124"/>
      <c r="FY218" s="124"/>
      <c r="FZ218" s="124"/>
      <c r="GA218" s="124"/>
      <c r="GB218" s="124"/>
      <c r="GC218" s="124"/>
      <c r="GD218" s="124"/>
      <c r="GE218" s="124"/>
      <c r="GF218" s="124"/>
      <c r="GG218" s="124"/>
      <c r="GH218" s="124"/>
      <c r="GI218" s="124"/>
      <c r="GJ218" s="124"/>
      <c r="GK218" s="124"/>
      <c r="GL218" s="124"/>
      <c r="GM218" s="124"/>
      <c r="GN218" s="124"/>
      <c r="GO218" s="124"/>
      <c r="GP218" s="124"/>
      <c r="GQ218" s="124"/>
      <c r="GR218" s="124"/>
      <c r="GS218" s="124"/>
      <c r="GT218" s="124"/>
      <c r="GU218" s="124"/>
      <c r="GV218" s="124"/>
      <c r="GW218" s="124"/>
      <c r="GX218" s="124"/>
      <c r="GY218" s="124"/>
      <c r="GZ218" s="124"/>
      <c r="HA218" s="124"/>
      <c r="HB218" s="124"/>
      <c r="HC218" s="124"/>
      <c r="HD218" s="124"/>
      <c r="HE218" s="124"/>
      <c r="HF218" s="124"/>
      <c r="HG218" s="124"/>
      <c r="HH218" s="124"/>
      <c r="HI218" s="124"/>
      <c r="HJ218" s="124"/>
      <c r="HK218" s="124"/>
      <c r="HL218" s="124"/>
      <c r="HM218" s="124"/>
      <c r="HN218" s="124"/>
      <c r="HO218" s="124"/>
      <c r="HP218" s="124"/>
      <c r="HQ218" s="124"/>
      <c r="HR218" s="124"/>
      <c r="HS218" s="124"/>
      <c r="HT218" s="124"/>
      <c r="HU218" s="124"/>
      <c r="HV218" s="124"/>
      <c r="HW218" s="124"/>
      <c r="HX218" s="124"/>
      <c r="HY218" s="124"/>
      <c r="HZ218" s="124"/>
      <c r="IA218" s="124"/>
      <c r="IB218" s="124"/>
      <c r="IC218" s="124"/>
      <c r="ID218" s="124"/>
      <c r="IE218" s="124"/>
      <c r="IF218" s="124"/>
      <c r="IG218" s="124"/>
      <c r="IH218" s="124"/>
      <c r="II218" s="124"/>
      <c r="IJ218" s="124"/>
    </row>
    <row r="219" spans="1:244" ht="24" customHeight="1">
      <c r="A219" s="184"/>
      <c r="B219" s="134" t="s">
        <v>25</v>
      </c>
      <c r="C219" s="184"/>
      <c r="D219" s="189">
        <f t="shared" ref="D219" si="359">D122/D12</f>
        <v>16541.354503146384</v>
      </c>
      <c r="E219" s="189">
        <f t="shared" si="355"/>
        <v>1281.0396050936877</v>
      </c>
      <c r="F219" s="189">
        <f t="shared" si="355"/>
        <v>1647.6371020109873</v>
      </c>
      <c r="G219" s="189">
        <f t="shared" ref="G219:Q219" si="360">G122/G12</f>
        <v>1264.9739486448434</v>
      </c>
      <c r="H219" s="189">
        <f t="shared" si="360"/>
        <v>1401.9512671771145</v>
      </c>
      <c r="I219" s="189">
        <f t="shared" si="360"/>
        <v>1200.6855576964319</v>
      </c>
      <c r="J219" s="189">
        <f t="shared" si="360"/>
        <v>1219.2522678417561</v>
      </c>
      <c r="K219" s="189">
        <f t="shared" si="360"/>
        <v>1861.1709900195249</v>
      </c>
      <c r="L219" s="189">
        <f t="shared" si="360"/>
        <v>1985.3723856650188</v>
      </c>
      <c r="M219" s="189">
        <f t="shared" si="360"/>
        <v>1258.2352274706136</v>
      </c>
      <c r="N219" s="189">
        <f t="shared" si="360"/>
        <v>1390.1805837766299</v>
      </c>
      <c r="O219" s="189">
        <f t="shared" si="360"/>
        <v>994.07618101382434</v>
      </c>
      <c r="P219" s="189">
        <f t="shared" si="360"/>
        <v>1006.7875945288844</v>
      </c>
      <c r="Q219" s="189">
        <f t="shared" si="360"/>
        <v>16358.545436594239</v>
      </c>
      <c r="R219" s="160">
        <f t="shared" si="338"/>
        <v>182.80906655214494</v>
      </c>
      <c r="S219" s="161"/>
      <c r="T219" s="267">
        <f t="shared" si="346"/>
        <v>8015.5397484648211</v>
      </c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  <c r="BO219" s="124"/>
      <c r="BP219" s="124"/>
      <c r="BQ219" s="124"/>
      <c r="BR219" s="124"/>
      <c r="BS219" s="124"/>
      <c r="BT219" s="124"/>
      <c r="BU219" s="124"/>
      <c r="BV219" s="124"/>
      <c r="BW219" s="124"/>
      <c r="BX219" s="124"/>
      <c r="BY219" s="124"/>
      <c r="BZ219" s="124"/>
      <c r="CA219" s="124"/>
      <c r="CB219" s="124"/>
      <c r="CC219" s="124"/>
      <c r="CD219" s="124"/>
      <c r="CE219" s="124"/>
      <c r="CF219" s="124"/>
      <c r="CG219" s="124"/>
      <c r="CH219" s="124"/>
      <c r="CI219" s="124"/>
      <c r="CJ219" s="124"/>
      <c r="CK219" s="124"/>
      <c r="CL219" s="124"/>
      <c r="CM219" s="124"/>
      <c r="CN219" s="124"/>
      <c r="CO219" s="124"/>
      <c r="CP219" s="124"/>
      <c r="CQ219" s="124"/>
      <c r="CR219" s="124"/>
      <c r="CS219" s="124"/>
      <c r="CT219" s="124"/>
      <c r="CU219" s="124"/>
      <c r="CV219" s="124"/>
      <c r="CW219" s="124"/>
      <c r="CX219" s="124"/>
      <c r="CY219" s="124"/>
      <c r="CZ219" s="124"/>
      <c r="DA219" s="124"/>
      <c r="DB219" s="124"/>
      <c r="DC219" s="124"/>
      <c r="DD219" s="124"/>
      <c r="DE219" s="124"/>
      <c r="DF219" s="124"/>
      <c r="DG219" s="124"/>
      <c r="DH219" s="124"/>
      <c r="DI219" s="124"/>
      <c r="DJ219" s="124"/>
      <c r="DK219" s="124"/>
      <c r="DL219" s="124"/>
      <c r="DM219" s="124"/>
      <c r="DN219" s="124"/>
      <c r="DO219" s="124"/>
      <c r="DP219" s="124"/>
      <c r="DQ219" s="124"/>
      <c r="DR219" s="124"/>
      <c r="DS219" s="124"/>
      <c r="DT219" s="124"/>
      <c r="DU219" s="124"/>
      <c r="DV219" s="124"/>
      <c r="DW219" s="124"/>
      <c r="DX219" s="124"/>
      <c r="DY219" s="124"/>
      <c r="DZ219" s="124"/>
      <c r="EA219" s="124"/>
      <c r="EB219" s="124"/>
      <c r="EC219" s="124"/>
      <c r="ED219" s="124"/>
      <c r="EE219" s="124"/>
      <c r="EF219" s="124"/>
      <c r="EG219" s="124"/>
      <c r="EH219" s="124"/>
      <c r="EI219" s="124"/>
      <c r="EJ219" s="124"/>
      <c r="EK219" s="124"/>
      <c r="EL219" s="124"/>
      <c r="EM219" s="124"/>
      <c r="EN219" s="124"/>
      <c r="EO219" s="124"/>
      <c r="EP219" s="124"/>
      <c r="EQ219" s="124"/>
      <c r="ER219" s="124"/>
      <c r="ES219" s="124"/>
      <c r="ET219" s="124"/>
      <c r="EU219" s="124"/>
      <c r="EV219" s="124"/>
      <c r="EW219" s="124"/>
      <c r="EX219" s="124"/>
      <c r="EY219" s="124"/>
      <c r="EZ219" s="124"/>
      <c r="FA219" s="124"/>
      <c r="FB219" s="124"/>
      <c r="FC219" s="124"/>
      <c r="FD219" s="124"/>
      <c r="FE219" s="124"/>
      <c r="FF219" s="124"/>
      <c r="FG219" s="124"/>
      <c r="FH219" s="124"/>
      <c r="FI219" s="124"/>
      <c r="FJ219" s="124"/>
      <c r="FK219" s="124"/>
      <c r="FL219" s="124"/>
      <c r="FM219" s="124"/>
      <c r="FN219" s="124"/>
      <c r="FO219" s="124"/>
      <c r="FP219" s="124"/>
      <c r="FQ219" s="124"/>
      <c r="FR219" s="124"/>
      <c r="FS219" s="124"/>
      <c r="FT219" s="124"/>
      <c r="FU219" s="124"/>
      <c r="FV219" s="124"/>
      <c r="FW219" s="124"/>
      <c r="FX219" s="124"/>
      <c r="FY219" s="124"/>
      <c r="FZ219" s="124"/>
      <c r="GA219" s="124"/>
      <c r="GB219" s="124"/>
      <c r="GC219" s="124"/>
      <c r="GD219" s="124"/>
      <c r="GE219" s="124"/>
      <c r="GF219" s="124"/>
      <c r="GG219" s="124"/>
      <c r="GH219" s="124"/>
      <c r="GI219" s="124"/>
      <c r="GJ219" s="124"/>
      <c r="GK219" s="124"/>
      <c r="GL219" s="124"/>
      <c r="GM219" s="124"/>
      <c r="GN219" s="124"/>
      <c r="GO219" s="124"/>
      <c r="GP219" s="124"/>
      <c r="GQ219" s="124"/>
      <c r="GR219" s="124"/>
      <c r="GS219" s="124"/>
      <c r="GT219" s="124"/>
      <c r="GU219" s="124"/>
      <c r="GV219" s="124"/>
      <c r="GW219" s="124"/>
      <c r="GX219" s="124"/>
      <c r="GY219" s="124"/>
      <c r="GZ219" s="124"/>
      <c r="HA219" s="124"/>
      <c r="HB219" s="124"/>
      <c r="HC219" s="124"/>
      <c r="HD219" s="124"/>
      <c r="HE219" s="124"/>
      <c r="HF219" s="124"/>
      <c r="HG219" s="124"/>
      <c r="HH219" s="124"/>
      <c r="HI219" s="124"/>
      <c r="HJ219" s="124"/>
      <c r="HK219" s="124"/>
      <c r="HL219" s="124"/>
      <c r="HM219" s="124"/>
      <c r="HN219" s="124"/>
      <c r="HO219" s="124"/>
      <c r="HP219" s="124"/>
      <c r="HQ219" s="124"/>
      <c r="HR219" s="124"/>
      <c r="HS219" s="124"/>
      <c r="HT219" s="124"/>
      <c r="HU219" s="124"/>
      <c r="HV219" s="124"/>
      <c r="HW219" s="124"/>
      <c r="HX219" s="124"/>
      <c r="HY219" s="124"/>
      <c r="HZ219" s="124"/>
      <c r="IA219" s="124"/>
      <c r="IB219" s="124"/>
      <c r="IC219" s="124"/>
      <c r="ID219" s="124"/>
      <c r="IE219" s="124"/>
      <c r="IF219" s="124"/>
      <c r="IG219" s="124"/>
      <c r="IH219" s="124"/>
      <c r="II219" s="124"/>
      <c r="IJ219" s="124"/>
    </row>
    <row r="220" spans="1:244" ht="24" customHeight="1">
      <c r="A220" s="195"/>
      <c r="B220" s="134" t="s">
        <v>22</v>
      </c>
      <c r="C220" s="195"/>
      <c r="D220" s="196">
        <f>D43</f>
        <v>0.89894283451053847</v>
      </c>
      <c r="E220" s="229"/>
      <c r="F220" s="229">
        <f t="shared" ref="F220:P220" si="361">F58-F78</f>
        <v>0</v>
      </c>
      <c r="G220" s="229">
        <f t="shared" si="361"/>
        <v>0</v>
      </c>
      <c r="H220" s="229">
        <f t="shared" si="361"/>
        <v>0</v>
      </c>
      <c r="I220" s="229">
        <f t="shared" si="361"/>
        <v>0</v>
      </c>
      <c r="J220" s="229">
        <f t="shared" si="361"/>
        <v>0</v>
      </c>
      <c r="K220" s="229">
        <f t="shared" si="361"/>
        <v>0</v>
      </c>
      <c r="L220" s="229">
        <f t="shared" si="361"/>
        <v>0</v>
      </c>
      <c r="M220" s="229">
        <f t="shared" si="361"/>
        <v>0</v>
      </c>
      <c r="N220" s="229">
        <f t="shared" si="361"/>
        <v>0</v>
      </c>
      <c r="O220" s="229">
        <f t="shared" si="361"/>
        <v>0</v>
      </c>
      <c r="P220" s="229">
        <f t="shared" si="361"/>
        <v>5.3774605213163795E-8</v>
      </c>
      <c r="Q220" s="124"/>
      <c r="R220" s="200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  <c r="BO220" s="124"/>
      <c r="BP220" s="124"/>
      <c r="BQ220" s="124"/>
      <c r="BR220" s="124"/>
      <c r="BS220" s="124"/>
      <c r="BT220" s="124"/>
      <c r="BU220" s="124"/>
      <c r="BV220" s="124"/>
      <c r="BW220" s="124"/>
      <c r="BX220" s="124"/>
      <c r="BY220" s="124"/>
      <c r="BZ220" s="124"/>
      <c r="CA220" s="124"/>
      <c r="CB220" s="124"/>
      <c r="CC220" s="124"/>
      <c r="CD220" s="124"/>
      <c r="CE220" s="124"/>
      <c r="CF220" s="124"/>
      <c r="CG220" s="124"/>
      <c r="CH220" s="124"/>
      <c r="CI220" s="124"/>
      <c r="CJ220" s="124"/>
      <c r="CK220" s="124"/>
      <c r="CL220" s="124"/>
      <c r="CM220" s="124"/>
      <c r="CN220" s="124"/>
      <c r="CO220" s="124"/>
      <c r="CP220" s="124"/>
      <c r="CQ220" s="124"/>
      <c r="CR220" s="124"/>
      <c r="CS220" s="124"/>
      <c r="CT220" s="124"/>
      <c r="CU220" s="124"/>
      <c r="CV220" s="124"/>
      <c r="CW220" s="124"/>
      <c r="CX220" s="124"/>
      <c r="CY220" s="124"/>
      <c r="CZ220" s="124"/>
      <c r="DA220" s="124"/>
      <c r="DB220" s="124"/>
      <c r="DC220" s="124"/>
      <c r="DD220" s="124"/>
      <c r="DE220" s="124"/>
      <c r="DF220" s="124"/>
      <c r="DG220" s="124"/>
      <c r="DH220" s="124"/>
      <c r="DI220" s="124"/>
      <c r="DJ220" s="124"/>
      <c r="DK220" s="124"/>
      <c r="DL220" s="124"/>
      <c r="DM220" s="124"/>
      <c r="DN220" s="124"/>
      <c r="DO220" s="124"/>
      <c r="DP220" s="124"/>
      <c r="DQ220" s="124"/>
      <c r="DR220" s="124"/>
      <c r="DS220" s="124"/>
      <c r="DT220" s="124"/>
      <c r="DU220" s="124"/>
      <c r="DV220" s="124"/>
      <c r="DW220" s="124"/>
      <c r="DX220" s="124"/>
      <c r="DY220" s="124"/>
      <c r="DZ220" s="124"/>
      <c r="EA220" s="124"/>
      <c r="EB220" s="124"/>
      <c r="EC220" s="124"/>
      <c r="ED220" s="124"/>
      <c r="EE220" s="124"/>
      <c r="EF220" s="124"/>
      <c r="EG220" s="124"/>
      <c r="EH220" s="124"/>
      <c r="EI220" s="124"/>
      <c r="EJ220" s="124"/>
      <c r="EK220" s="124"/>
      <c r="EL220" s="124"/>
      <c r="EM220" s="124"/>
      <c r="EN220" s="124"/>
      <c r="EO220" s="124"/>
      <c r="EP220" s="124"/>
      <c r="EQ220" s="124"/>
      <c r="ER220" s="124"/>
      <c r="ES220" s="124"/>
      <c r="ET220" s="124"/>
      <c r="EU220" s="124"/>
      <c r="EV220" s="124"/>
      <c r="EW220" s="124"/>
      <c r="EX220" s="124"/>
      <c r="EY220" s="124"/>
      <c r="EZ220" s="124"/>
      <c r="FA220" s="124"/>
      <c r="FB220" s="124"/>
      <c r="FC220" s="124"/>
      <c r="FD220" s="124"/>
      <c r="FE220" s="124"/>
      <c r="FF220" s="124"/>
      <c r="FG220" s="124"/>
      <c r="FH220" s="124"/>
      <c r="FI220" s="124"/>
      <c r="FJ220" s="124"/>
      <c r="FK220" s="124"/>
      <c r="FL220" s="124"/>
      <c r="FM220" s="124"/>
      <c r="FN220" s="124"/>
      <c r="FO220" s="124"/>
      <c r="FP220" s="124"/>
      <c r="FQ220" s="124"/>
      <c r="FR220" s="124"/>
      <c r="FS220" s="124"/>
      <c r="FT220" s="124"/>
      <c r="FU220" s="124"/>
      <c r="FV220" s="124"/>
      <c r="FW220" s="124"/>
      <c r="FX220" s="124"/>
      <c r="FY220" s="124"/>
      <c r="FZ220" s="124"/>
      <c r="GA220" s="124"/>
      <c r="GB220" s="124"/>
      <c r="GC220" s="124"/>
      <c r="GD220" s="124"/>
      <c r="GE220" s="124"/>
      <c r="GF220" s="124"/>
      <c r="GG220" s="124"/>
      <c r="GH220" s="124"/>
      <c r="GI220" s="124"/>
      <c r="GJ220" s="124"/>
      <c r="GK220" s="124"/>
      <c r="GL220" s="124"/>
      <c r="GM220" s="124"/>
      <c r="GN220" s="124"/>
      <c r="GO220" s="124"/>
      <c r="GP220" s="124"/>
      <c r="GQ220" s="124"/>
      <c r="GR220" s="124"/>
      <c r="GS220" s="124"/>
      <c r="GT220" s="124"/>
      <c r="GU220" s="124"/>
      <c r="GV220" s="124"/>
      <c r="GW220" s="124"/>
      <c r="GX220" s="124"/>
      <c r="GY220" s="124"/>
      <c r="GZ220" s="124"/>
      <c r="HA220" s="124"/>
      <c r="HB220" s="124"/>
      <c r="HC220" s="124"/>
      <c r="HD220" s="124"/>
      <c r="HE220" s="124"/>
      <c r="HF220" s="124"/>
      <c r="HG220" s="124"/>
      <c r="HH220" s="124"/>
      <c r="HI220" s="124"/>
      <c r="HJ220" s="124"/>
      <c r="HK220" s="124"/>
      <c r="HL220" s="124"/>
      <c r="HM220" s="124"/>
      <c r="HN220" s="124"/>
      <c r="HO220" s="124"/>
      <c r="HP220" s="124"/>
      <c r="HQ220" s="124"/>
      <c r="HR220" s="124"/>
      <c r="HS220" s="124"/>
      <c r="HT220" s="124"/>
      <c r="HU220" s="124"/>
      <c r="HV220" s="124"/>
      <c r="HW220" s="124"/>
      <c r="HX220" s="124"/>
      <c r="HY220" s="124"/>
      <c r="HZ220" s="124"/>
      <c r="IA220" s="124"/>
      <c r="IB220" s="124"/>
      <c r="IC220" s="124"/>
      <c r="ID220" s="124"/>
      <c r="IE220" s="124"/>
      <c r="IF220" s="124"/>
      <c r="IG220" s="124"/>
      <c r="IH220" s="124"/>
      <c r="II220" s="124"/>
      <c r="IJ220" s="124"/>
    </row>
    <row r="221" spans="1:244" ht="24" customHeight="1">
      <c r="A221" s="195"/>
      <c r="B221" s="134" t="s">
        <v>23</v>
      </c>
      <c r="C221" s="195"/>
      <c r="D221" s="196"/>
      <c r="E221" s="229">
        <f>E59-E79</f>
        <v>0</v>
      </c>
      <c r="F221" s="229">
        <f t="shared" ref="E221:P223" si="362">F59-F79</f>
        <v>0</v>
      </c>
      <c r="G221" s="229">
        <f t="shared" si="362"/>
        <v>0</v>
      </c>
      <c r="H221" s="229">
        <f t="shared" si="362"/>
        <v>0</v>
      </c>
      <c r="I221" s="229">
        <f t="shared" si="362"/>
        <v>0</v>
      </c>
      <c r="J221" s="229">
        <f t="shared" si="362"/>
        <v>0</v>
      </c>
      <c r="K221" s="229">
        <f t="shared" si="362"/>
        <v>0</v>
      </c>
      <c r="L221" s="229">
        <f t="shared" si="362"/>
        <v>0</v>
      </c>
      <c r="M221" s="229">
        <f t="shared" si="362"/>
        <v>0</v>
      </c>
      <c r="N221" s="229">
        <f t="shared" si="362"/>
        <v>0</v>
      </c>
      <c r="O221" s="229">
        <f t="shared" si="362"/>
        <v>0</v>
      </c>
      <c r="P221" s="229">
        <f t="shared" si="362"/>
        <v>0</v>
      </c>
      <c r="Q221" s="124"/>
      <c r="R221" s="200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  <c r="BO221" s="124"/>
      <c r="BP221" s="124"/>
      <c r="BQ221" s="124"/>
      <c r="BR221" s="124"/>
      <c r="BS221" s="124"/>
      <c r="BT221" s="124"/>
      <c r="BU221" s="124"/>
      <c r="BV221" s="124"/>
      <c r="BW221" s="124"/>
      <c r="BX221" s="124"/>
      <c r="BY221" s="124"/>
      <c r="BZ221" s="124"/>
      <c r="CA221" s="124"/>
      <c r="CB221" s="124"/>
      <c r="CC221" s="124"/>
      <c r="CD221" s="124"/>
      <c r="CE221" s="124"/>
      <c r="CF221" s="124"/>
      <c r="CG221" s="124"/>
      <c r="CH221" s="124"/>
      <c r="CI221" s="124"/>
      <c r="CJ221" s="124"/>
      <c r="CK221" s="124"/>
      <c r="CL221" s="124"/>
      <c r="CM221" s="124"/>
      <c r="CN221" s="124"/>
      <c r="CO221" s="124"/>
      <c r="CP221" s="124"/>
      <c r="CQ221" s="124"/>
      <c r="CR221" s="124"/>
      <c r="CS221" s="124"/>
      <c r="CT221" s="124"/>
      <c r="CU221" s="124"/>
      <c r="CV221" s="124"/>
      <c r="CW221" s="124"/>
      <c r="CX221" s="124"/>
      <c r="CY221" s="124"/>
      <c r="CZ221" s="124"/>
      <c r="DA221" s="124"/>
      <c r="DB221" s="124"/>
      <c r="DC221" s="124"/>
      <c r="DD221" s="124"/>
      <c r="DE221" s="124"/>
      <c r="DF221" s="124"/>
      <c r="DG221" s="124"/>
      <c r="DH221" s="124"/>
      <c r="DI221" s="124"/>
      <c r="DJ221" s="124"/>
      <c r="DK221" s="124"/>
      <c r="DL221" s="124"/>
      <c r="DM221" s="124"/>
      <c r="DN221" s="124"/>
      <c r="DO221" s="124"/>
      <c r="DP221" s="124"/>
      <c r="DQ221" s="124"/>
      <c r="DR221" s="124"/>
      <c r="DS221" s="124"/>
      <c r="DT221" s="124"/>
      <c r="DU221" s="124"/>
      <c r="DV221" s="124"/>
      <c r="DW221" s="124"/>
      <c r="DX221" s="124"/>
      <c r="DY221" s="124"/>
      <c r="DZ221" s="124"/>
      <c r="EA221" s="124"/>
      <c r="EB221" s="124"/>
      <c r="EC221" s="124"/>
      <c r="ED221" s="124"/>
      <c r="EE221" s="124"/>
      <c r="EF221" s="124"/>
      <c r="EG221" s="124"/>
      <c r="EH221" s="124"/>
      <c r="EI221" s="124"/>
      <c r="EJ221" s="124"/>
      <c r="EK221" s="124"/>
      <c r="EL221" s="124"/>
      <c r="EM221" s="124"/>
      <c r="EN221" s="124"/>
      <c r="EO221" s="124"/>
      <c r="EP221" s="124"/>
      <c r="EQ221" s="124"/>
      <c r="ER221" s="124"/>
      <c r="ES221" s="124"/>
      <c r="ET221" s="124"/>
      <c r="EU221" s="124"/>
      <c r="EV221" s="124"/>
      <c r="EW221" s="124"/>
      <c r="EX221" s="124"/>
      <c r="EY221" s="124"/>
      <c r="EZ221" s="124"/>
      <c r="FA221" s="124"/>
      <c r="FB221" s="124"/>
      <c r="FC221" s="124"/>
      <c r="FD221" s="124"/>
      <c r="FE221" s="124"/>
      <c r="FF221" s="124"/>
      <c r="FG221" s="124"/>
      <c r="FH221" s="124"/>
      <c r="FI221" s="124"/>
      <c r="FJ221" s="124"/>
      <c r="FK221" s="124"/>
      <c r="FL221" s="124"/>
      <c r="FM221" s="124"/>
      <c r="FN221" s="124"/>
      <c r="FO221" s="124"/>
      <c r="FP221" s="124"/>
      <c r="FQ221" s="124"/>
      <c r="FR221" s="124"/>
      <c r="FS221" s="124"/>
      <c r="FT221" s="124"/>
      <c r="FU221" s="124"/>
      <c r="FV221" s="124"/>
      <c r="FW221" s="124"/>
      <c r="FX221" s="124"/>
      <c r="FY221" s="124"/>
      <c r="FZ221" s="124"/>
      <c r="GA221" s="124"/>
      <c r="GB221" s="124"/>
      <c r="GC221" s="124"/>
      <c r="GD221" s="124"/>
      <c r="GE221" s="124"/>
      <c r="GF221" s="124"/>
      <c r="GG221" s="124"/>
      <c r="GH221" s="124"/>
      <c r="GI221" s="124"/>
      <c r="GJ221" s="124"/>
      <c r="GK221" s="124"/>
      <c r="GL221" s="124"/>
      <c r="GM221" s="124"/>
      <c r="GN221" s="124"/>
      <c r="GO221" s="124"/>
      <c r="GP221" s="124"/>
      <c r="GQ221" s="124"/>
      <c r="GR221" s="124"/>
      <c r="GS221" s="124"/>
      <c r="GT221" s="124"/>
      <c r="GU221" s="124"/>
      <c r="GV221" s="124"/>
      <c r="GW221" s="124"/>
      <c r="GX221" s="124"/>
      <c r="GY221" s="124"/>
      <c r="GZ221" s="124"/>
      <c r="HA221" s="124"/>
      <c r="HB221" s="124"/>
      <c r="HC221" s="124"/>
      <c r="HD221" s="124"/>
      <c r="HE221" s="124"/>
      <c r="HF221" s="124"/>
      <c r="HG221" s="124"/>
      <c r="HH221" s="124"/>
      <c r="HI221" s="124"/>
      <c r="HJ221" s="124"/>
      <c r="HK221" s="124"/>
      <c r="HL221" s="124"/>
      <c r="HM221" s="124"/>
      <c r="HN221" s="124"/>
      <c r="HO221" s="124"/>
      <c r="HP221" s="124"/>
      <c r="HQ221" s="124"/>
      <c r="HR221" s="124"/>
      <c r="HS221" s="124"/>
      <c r="HT221" s="124"/>
      <c r="HU221" s="124"/>
      <c r="HV221" s="124"/>
      <c r="HW221" s="124"/>
      <c r="HX221" s="124"/>
      <c r="HY221" s="124"/>
      <c r="HZ221" s="124"/>
      <c r="IA221" s="124"/>
      <c r="IB221" s="124"/>
      <c r="IC221" s="124"/>
      <c r="ID221" s="124"/>
      <c r="IE221" s="124"/>
      <c r="IF221" s="124"/>
      <c r="IG221" s="124"/>
      <c r="IH221" s="124"/>
      <c r="II221" s="124"/>
      <c r="IJ221" s="124"/>
    </row>
    <row r="222" spans="1:244" ht="24" customHeight="1">
      <c r="A222" s="195"/>
      <c r="B222" s="134" t="s">
        <v>24</v>
      </c>
      <c r="C222" s="195"/>
      <c r="D222" s="196"/>
      <c r="E222" s="229">
        <f t="shared" si="362"/>
        <v>0</v>
      </c>
      <c r="F222" s="229">
        <f t="shared" si="362"/>
        <v>0</v>
      </c>
      <c r="G222" s="229">
        <f t="shared" si="362"/>
        <v>0</v>
      </c>
      <c r="H222" s="229">
        <f t="shared" si="362"/>
        <v>0</v>
      </c>
      <c r="I222" s="229">
        <f t="shared" si="362"/>
        <v>0</v>
      </c>
      <c r="J222" s="229">
        <f t="shared" si="362"/>
        <v>0</v>
      </c>
      <c r="K222" s="229">
        <f t="shared" si="362"/>
        <v>0</v>
      </c>
      <c r="L222" s="229">
        <f t="shared" si="362"/>
        <v>0</v>
      </c>
      <c r="M222" s="229">
        <f t="shared" si="362"/>
        <v>0</v>
      </c>
      <c r="N222" s="229">
        <f t="shared" si="362"/>
        <v>0</v>
      </c>
      <c r="O222" s="229">
        <f t="shared" si="362"/>
        <v>0</v>
      </c>
      <c r="P222" s="229">
        <f t="shared" si="362"/>
        <v>0</v>
      </c>
      <c r="Q222" s="124"/>
      <c r="R222" s="200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  <c r="BO222" s="124"/>
      <c r="BP222" s="124"/>
      <c r="BQ222" s="124"/>
      <c r="BR222" s="124"/>
      <c r="BS222" s="124"/>
      <c r="BT222" s="124"/>
      <c r="BU222" s="124"/>
      <c r="BV222" s="124"/>
      <c r="BW222" s="124"/>
      <c r="BX222" s="124"/>
      <c r="BY222" s="124"/>
      <c r="BZ222" s="124"/>
      <c r="CA222" s="124"/>
      <c r="CB222" s="124"/>
      <c r="CC222" s="124"/>
      <c r="CD222" s="124"/>
      <c r="CE222" s="124"/>
      <c r="CF222" s="124"/>
      <c r="CG222" s="124"/>
      <c r="CH222" s="124"/>
      <c r="CI222" s="124"/>
      <c r="CJ222" s="124"/>
      <c r="CK222" s="124"/>
      <c r="CL222" s="124"/>
      <c r="CM222" s="124"/>
      <c r="CN222" s="124"/>
      <c r="CO222" s="124"/>
      <c r="CP222" s="124"/>
      <c r="CQ222" s="124"/>
      <c r="CR222" s="124"/>
      <c r="CS222" s="124"/>
      <c r="CT222" s="124"/>
      <c r="CU222" s="124"/>
      <c r="CV222" s="124"/>
      <c r="CW222" s="124"/>
      <c r="CX222" s="124"/>
      <c r="CY222" s="124"/>
      <c r="CZ222" s="124"/>
      <c r="DA222" s="124"/>
      <c r="DB222" s="124"/>
      <c r="DC222" s="124"/>
      <c r="DD222" s="124"/>
      <c r="DE222" s="124"/>
      <c r="DF222" s="124"/>
      <c r="DG222" s="124"/>
      <c r="DH222" s="124"/>
      <c r="DI222" s="124"/>
      <c r="DJ222" s="124"/>
      <c r="DK222" s="124"/>
      <c r="DL222" s="124"/>
      <c r="DM222" s="124"/>
      <c r="DN222" s="124"/>
      <c r="DO222" s="124"/>
      <c r="DP222" s="124"/>
      <c r="DQ222" s="124"/>
      <c r="DR222" s="124"/>
      <c r="DS222" s="124"/>
      <c r="DT222" s="124"/>
      <c r="DU222" s="124"/>
      <c r="DV222" s="124"/>
      <c r="DW222" s="124"/>
      <c r="DX222" s="124"/>
      <c r="DY222" s="124"/>
      <c r="DZ222" s="124"/>
      <c r="EA222" s="124"/>
      <c r="EB222" s="124"/>
      <c r="EC222" s="124"/>
      <c r="ED222" s="124"/>
      <c r="EE222" s="124"/>
      <c r="EF222" s="124"/>
      <c r="EG222" s="124"/>
      <c r="EH222" s="124"/>
      <c r="EI222" s="124"/>
      <c r="EJ222" s="124"/>
      <c r="EK222" s="124"/>
      <c r="EL222" s="124"/>
      <c r="EM222" s="124"/>
      <c r="EN222" s="124"/>
      <c r="EO222" s="124"/>
      <c r="EP222" s="124"/>
      <c r="EQ222" s="124"/>
      <c r="ER222" s="124"/>
      <c r="ES222" s="124"/>
      <c r="ET222" s="124"/>
      <c r="EU222" s="124"/>
      <c r="EV222" s="124"/>
      <c r="EW222" s="124"/>
      <c r="EX222" s="124"/>
      <c r="EY222" s="124"/>
      <c r="EZ222" s="124"/>
      <c r="FA222" s="124"/>
      <c r="FB222" s="124"/>
      <c r="FC222" s="124"/>
      <c r="FD222" s="124"/>
      <c r="FE222" s="124"/>
      <c r="FF222" s="124"/>
      <c r="FG222" s="124"/>
      <c r="FH222" s="124"/>
      <c r="FI222" s="124"/>
      <c r="FJ222" s="124"/>
      <c r="FK222" s="124"/>
      <c r="FL222" s="124"/>
      <c r="FM222" s="124"/>
      <c r="FN222" s="124"/>
      <c r="FO222" s="124"/>
      <c r="FP222" s="124"/>
      <c r="FQ222" s="124"/>
      <c r="FR222" s="124"/>
      <c r="FS222" s="124"/>
      <c r="FT222" s="124"/>
      <c r="FU222" s="124"/>
      <c r="FV222" s="124"/>
      <c r="FW222" s="124"/>
      <c r="FX222" s="124"/>
      <c r="FY222" s="124"/>
      <c r="FZ222" s="124"/>
      <c r="GA222" s="124"/>
      <c r="GB222" s="124"/>
      <c r="GC222" s="124"/>
      <c r="GD222" s="124"/>
      <c r="GE222" s="124"/>
      <c r="GF222" s="124"/>
      <c r="GG222" s="124"/>
      <c r="GH222" s="124"/>
      <c r="GI222" s="124"/>
      <c r="GJ222" s="124"/>
      <c r="GK222" s="124"/>
      <c r="GL222" s="124"/>
      <c r="GM222" s="124"/>
      <c r="GN222" s="124"/>
      <c r="GO222" s="124"/>
      <c r="GP222" s="124"/>
      <c r="GQ222" s="124"/>
      <c r="GR222" s="124"/>
      <c r="GS222" s="124"/>
      <c r="GT222" s="124"/>
      <c r="GU222" s="124"/>
      <c r="GV222" s="124"/>
      <c r="GW222" s="124"/>
      <c r="GX222" s="124"/>
      <c r="GY222" s="124"/>
      <c r="GZ222" s="124"/>
      <c r="HA222" s="124"/>
      <c r="HB222" s="124"/>
      <c r="HC222" s="124"/>
      <c r="HD222" s="124"/>
      <c r="HE222" s="124"/>
      <c r="HF222" s="124"/>
      <c r="HG222" s="124"/>
      <c r="HH222" s="124"/>
      <c r="HI222" s="124"/>
      <c r="HJ222" s="124"/>
      <c r="HK222" s="124"/>
      <c r="HL222" s="124"/>
      <c r="HM222" s="124"/>
      <c r="HN222" s="124"/>
      <c r="HO222" s="124"/>
      <c r="HP222" s="124"/>
      <c r="HQ222" s="124"/>
      <c r="HR222" s="124"/>
      <c r="HS222" s="124"/>
      <c r="HT222" s="124"/>
      <c r="HU222" s="124"/>
      <c r="HV222" s="124"/>
      <c r="HW222" s="124"/>
      <c r="HX222" s="124"/>
      <c r="HY222" s="124"/>
      <c r="HZ222" s="124"/>
      <c r="IA222" s="124"/>
      <c r="IB222" s="124"/>
      <c r="IC222" s="124"/>
      <c r="ID222" s="124"/>
      <c r="IE222" s="124"/>
      <c r="IF222" s="124"/>
      <c r="IG222" s="124"/>
      <c r="IH222" s="124"/>
      <c r="II222" s="124"/>
      <c r="IJ222" s="124"/>
    </row>
    <row r="223" spans="1:244" ht="24" customHeight="1">
      <c r="A223" s="195"/>
      <c r="B223" s="134" t="s">
        <v>25</v>
      </c>
      <c r="C223" s="195"/>
      <c r="D223" s="196"/>
      <c r="E223" s="229">
        <f t="shared" si="362"/>
        <v>0</v>
      </c>
      <c r="F223" s="229">
        <f t="shared" si="362"/>
        <v>0</v>
      </c>
      <c r="G223" s="229">
        <f t="shared" si="362"/>
        <v>0</v>
      </c>
      <c r="H223" s="229">
        <f t="shared" si="362"/>
        <v>0</v>
      </c>
      <c r="I223" s="229">
        <f t="shared" si="362"/>
        <v>0</v>
      </c>
      <c r="J223" s="229">
        <f t="shared" si="362"/>
        <v>0</v>
      </c>
      <c r="K223" s="229">
        <f t="shared" si="362"/>
        <v>0</v>
      </c>
      <c r="L223" s="229">
        <f t="shared" si="362"/>
        <v>0</v>
      </c>
      <c r="M223" s="229">
        <f t="shared" si="362"/>
        <v>0</v>
      </c>
      <c r="N223" s="229">
        <f t="shared" si="362"/>
        <v>0</v>
      </c>
      <c r="O223" s="229">
        <f t="shared" si="362"/>
        <v>0</v>
      </c>
      <c r="P223" s="229">
        <f t="shared" si="362"/>
        <v>0</v>
      </c>
      <c r="Q223" s="124"/>
      <c r="R223" s="200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  <c r="BO223" s="124"/>
      <c r="BP223" s="124"/>
      <c r="BQ223" s="124"/>
      <c r="BR223" s="124"/>
      <c r="BS223" s="124"/>
      <c r="BT223" s="124"/>
      <c r="BU223" s="124"/>
      <c r="BV223" s="124"/>
      <c r="BW223" s="124"/>
      <c r="BX223" s="124"/>
      <c r="BY223" s="124"/>
      <c r="BZ223" s="124"/>
      <c r="CA223" s="124"/>
      <c r="CB223" s="124"/>
      <c r="CC223" s="124"/>
      <c r="CD223" s="124"/>
      <c r="CE223" s="124"/>
      <c r="CF223" s="124"/>
      <c r="CG223" s="124"/>
      <c r="CH223" s="124"/>
      <c r="CI223" s="124"/>
      <c r="CJ223" s="124"/>
      <c r="CK223" s="124"/>
      <c r="CL223" s="124"/>
      <c r="CM223" s="124"/>
      <c r="CN223" s="124"/>
      <c r="CO223" s="124"/>
      <c r="CP223" s="124"/>
      <c r="CQ223" s="124"/>
      <c r="CR223" s="124"/>
      <c r="CS223" s="124"/>
      <c r="CT223" s="124"/>
      <c r="CU223" s="124"/>
      <c r="CV223" s="124"/>
      <c r="CW223" s="124"/>
      <c r="CX223" s="124"/>
      <c r="CY223" s="124"/>
      <c r="CZ223" s="124"/>
      <c r="DA223" s="124"/>
      <c r="DB223" s="124"/>
      <c r="DC223" s="124"/>
      <c r="DD223" s="124"/>
      <c r="DE223" s="124"/>
      <c r="DF223" s="124"/>
      <c r="DG223" s="124"/>
      <c r="DH223" s="124"/>
      <c r="DI223" s="124"/>
      <c r="DJ223" s="124"/>
      <c r="DK223" s="124"/>
      <c r="DL223" s="124"/>
      <c r="DM223" s="124"/>
      <c r="DN223" s="124"/>
      <c r="DO223" s="124"/>
      <c r="DP223" s="124"/>
      <c r="DQ223" s="124"/>
      <c r="DR223" s="124"/>
      <c r="DS223" s="124"/>
      <c r="DT223" s="124"/>
      <c r="DU223" s="124"/>
      <c r="DV223" s="124"/>
      <c r="DW223" s="124"/>
      <c r="DX223" s="124"/>
      <c r="DY223" s="124"/>
      <c r="DZ223" s="124"/>
      <c r="EA223" s="124"/>
      <c r="EB223" s="124"/>
      <c r="EC223" s="124"/>
      <c r="ED223" s="124"/>
      <c r="EE223" s="124"/>
      <c r="EF223" s="124"/>
      <c r="EG223" s="124"/>
      <c r="EH223" s="124"/>
      <c r="EI223" s="124"/>
      <c r="EJ223" s="124"/>
      <c r="EK223" s="124"/>
      <c r="EL223" s="124"/>
      <c r="EM223" s="124"/>
      <c r="EN223" s="124"/>
      <c r="EO223" s="124"/>
      <c r="EP223" s="124"/>
      <c r="EQ223" s="124"/>
      <c r="ER223" s="124"/>
      <c r="ES223" s="124"/>
      <c r="ET223" s="124"/>
      <c r="EU223" s="124"/>
      <c r="EV223" s="124"/>
      <c r="EW223" s="124"/>
      <c r="EX223" s="124"/>
      <c r="EY223" s="124"/>
      <c r="EZ223" s="124"/>
      <c r="FA223" s="124"/>
      <c r="FB223" s="124"/>
      <c r="FC223" s="124"/>
      <c r="FD223" s="124"/>
      <c r="FE223" s="124"/>
      <c r="FF223" s="124"/>
      <c r="FG223" s="124"/>
      <c r="FH223" s="124"/>
      <c r="FI223" s="124"/>
      <c r="FJ223" s="124"/>
      <c r="FK223" s="124"/>
      <c r="FL223" s="124"/>
      <c r="FM223" s="124"/>
      <c r="FN223" s="124"/>
      <c r="FO223" s="124"/>
      <c r="FP223" s="124"/>
      <c r="FQ223" s="124"/>
      <c r="FR223" s="124"/>
      <c r="FS223" s="124"/>
      <c r="FT223" s="124"/>
      <c r="FU223" s="124"/>
      <c r="FV223" s="124"/>
      <c r="FW223" s="124"/>
      <c r="FX223" s="124"/>
      <c r="FY223" s="124"/>
      <c r="FZ223" s="124"/>
      <c r="GA223" s="124"/>
      <c r="GB223" s="124"/>
      <c r="GC223" s="124"/>
      <c r="GD223" s="124"/>
      <c r="GE223" s="124"/>
      <c r="GF223" s="124"/>
      <c r="GG223" s="124"/>
      <c r="GH223" s="124"/>
      <c r="GI223" s="124"/>
      <c r="GJ223" s="124"/>
      <c r="GK223" s="124"/>
      <c r="GL223" s="124"/>
      <c r="GM223" s="124"/>
      <c r="GN223" s="124"/>
      <c r="GO223" s="124"/>
      <c r="GP223" s="124"/>
      <c r="GQ223" s="124"/>
      <c r="GR223" s="124"/>
      <c r="GS223" s="124"/>
      <c r="GT223" s="124"/>
      <c r="GU223" s="124"/>
      <c r="GV223" s="124"/>
      <c r="GW223" s="124"/>
      <c r="GX223" s="124"/>
      <c r="GY223" s="124"/>
      <c r="GZ223" s="124"/>
      <c r="HA223" s="124"/>
      <c r="HB223" s="124"/>
      <c r="HC223" s="124"/>
      <c r="HD223" s="124"/>
      <c r="HE223" s="124"/>
      <c r="HF223" s="124"/>
      <c r="HG223" s="124"/>
      <c r="HH223" s="124"/>
      <c r="HI223" s="124"/>
      <c r="HJ223" s="124"/>
      <c r="HK223" s="124"/>
      <c r="HL223" s="124"/>
      <c r="HM223" s="124"/>
      <c r="HN223" s="124"/>
      <c r="HO223" s="124"/>
      <c r="HP223" s="124"/>
      <c r="HQ223" s="124"/>
      <c r="HR223" s="124"/>
      <c r="HS223" s="124"/>
      <c r="HT223" s="124"/>
      <c r="HU223" s="124"/>
      <c r="HV223" s="124"/>
      <c r="HW223" s="124"/>
      <c r="HX223" s="124"/>
      <c r="HY223" s="124"/>
      <c r="HZ223" s="124"/>
      <c r="IA223" s="124"/>
      <c r="IB223" s="124"/>
      <c r="IC223" s="124"/>
      <c r="ID223" s="124"/>
      <c r="IE223" s="124"/>
      <c r="IF223" s="124"/>
      <c r="IG223" s="124"/>
      <c r="IH223" s="124"/>
      <c r="II223" s="124"/>
      <c r="IJ223" s="124"/>
    </row>
    <row r="224" spans="1:244" ht="24" customHeight="1">
      <c r="A224" s="195"/>
      <c r="B224" s="216" t="s">
        <v>220</v>
      </c>
      <c r="C224" s="217"/>
      <c r="D224" s="196">
        <v>2000</v>
      </c>
      <c r="E224" s="229"/>
      <c r="F224" s="229"/>
      <c r="G224" s="229"/>
      <c r="H224" s="229"/>
      <c r="I224" s="229"/>
      <c r="J224" s="229"/>
      <c r="K224" s="229"/>
      <c r="L224" s="229"/>
      <c r="M224" s="229"/>
      <c r="N224" s="229"/>
      <c r="O224" s="229"/>
      <c r="P224" s="229"/>
      <c r="Q224" s="124"/>
      <c r="R224" s="200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  <c r="BO224" s="124"/>
      <c r="BP224" s="124"/>
      <c r="BQ224" s="124"/>
      <c r="BR224" s="124"/>
      <c r="BS224" s="124"/>
      <c r="BT224" s="124"/>
      <c r="BU224" s="124"/>
      <c r="BV224" s="124"/>
      <c r="BW224" s="124"/>
      <c r="BX224" s="124"/>
      <c r="BY224" s="124"/>
      <c r="BZ224" s="124"/>
      <c r="CA224" s="124"/>
      <c r="CB224" s="124"/>
      <c r="CC224" s="124"/>
      <c r="CD224" s="124"/>
      <c r="CE224" s="124"/>
      <c r="CF224" s="124"/>
      <c r="CG224" s="124"/>
      <c r="CH224" s="124"/>
      <c r="CI224" s="124"/>
      <c r="CJ224" s="124"/>
      <c r="CK224" s="124"/>
      <c r="CL224" s="124"/>
      <c r="CM224" s="124"/>
      <c r="CN224" s="124"/>
      <c r="CO224" s="124"/>
      <c r="CP224" s="124"/>
      <c r="CQ224" s="124"/>
      <c r="CR224" s="124"/>
      <c r="CS224" s="124"/>
      <c r="CT224" s="124"/>
      <c r="CU224" s="124"/>
      <c r="CV224" s="124"/>
      <c r="CW224" s="124"/>
      <c r="CX224" s="124"/>
      <c r="CY224" s="124"/>
      <c r="CZ224" s="124"/>
      <c r="DA224" s="124"/>
      <c r="DB224" s="124"/>
      <c r="DC224" s="124"/>
      <c r="DD224" s="124"/>
      <c r="DE224" s="124"/>
      <c r="DF224" s="124"/>
      <c r="DG224" s="124"/>
      <c r="DH224" s="124"/>
      <c r="DI224" s="124"/>
      <c r="DJ224" s="124"/>
      <c r="DK224" s="124"/>
      <c r="DL224" s="124"/>
      <c r="DM224" s="124"/>
      <c r="DN224" s="124"/>
      <c r="DO224" s="124"/>
      <c r="DP224" s="124"/>
      <c r="DQ224" s="124"/>
      <c r="DR224" s="124"/>
      <c r="DS224" s="124"/>
      <c r="DT224" s="124"/>
      <c r="DU224" s="124"/>
      <c r="DV224" s="124"/>
      <c r="DW224" s="124"/>
      <c r="DX224" s="124"/>
      <c r="DY224" s="124"/>
      <c r="DZ224" s="124"/>
      <c r="EA224" s="124"/>
      <c r="EB224" s="124"/>
      <c r="EC224" s="124"/>
      <c r="ED224" s="124"/>
      <c r="EE224" s="124"/>
      <c r="EF224" s="124"/>
      <c r="EG224" s="124"/>
      <c r="EH224" s="124"/>
      <c r="EI224" s="124"/>
      <c r="EJ224" s="124"/>
      <c r="EK224" s="124"/>
      <c r="EL224" s="124"/>
      <c r="EM224" s="124"/>
      <c r="EN224" s="124"/>
      <c r="EO224" s="124"/>
      <c r="EP224" s="124"/>
      <c r="EQ224" s="124"/>
      <c r="ER224" s="124"/>
      <c r="ES224" s="124"/>
      <c r="ET224" s="124"/>
      <c r="EU224" s="124"/>
      <c r="EV224" s="124"/>
      <c r="EW224" s="124"/>
      <c r="EX224" s="124"/>
      <c r="EY224" s="124"/>
      <c r="EZ224" s="124"/>
      <c r="FA224" s="124"/>
      <c r="FB224" s="124"/>
      <c r="FC224" s="124"/>
      <c r="FD224" s="124"/>
      <c r="FE224" s="124"/>
      <c r="FF224" s="124"/>
      <c r="FG224" s="124"/>
      <c r="FH224" s="124"/>
      <c r="FI224" s="124"/>
      <c r="FJ224" s="124"/>
      <c r="FK224" s="124"/>
      <c r="FL224" s="124"/>
      <c r="FM224" s="124"/>
      <c r="FN224" s="124"/>
      <c r="FO224" s="124"/>
      <c r="FP224" s="124"/>
      <c r="FQ224" s="124"/>
      <c r="FR224" s="124"/>
      <c r="FS224" s="124"/>
      <c r="FT224" s="124"/>
      <c r="FU224" s="124"/>
      <c r="FV224" s="124"/>
      <c r="FW224" s="124"/>
      <c r="FX224" s="124"/>
      <c r="FY224" s="124"/>
      <c r="FZ224" s="124"/>
      <c r="GA224" s="124"/>
      <c r="GB224" s="124"/>
      <c r="GC224" s="124"/>
      <c r="GD224" s="124"/>
      <c r="GE224" s="124"/>
      <c r="GF224" s="124"/>
      <c r="GG224" s="124"/>
      <c r="GH224" s="124"/>
      <c r="GI224" s="124"/>
      <c r="GJ224" s="124"/>
      <c r="GK224" s="124"/>
      <c r="GL224" s="124"/>
      <c r="GM224" s="124"/>
      <c r="GN224" s="124"/>
      <c r="GO224" s="124"/>
      <c r="GP224" s="124"/>
      <c r="GQ224" s="124"/>
      <c r="GR224" s="124"/>
      <c r="GS224" s="124"/>
      <c r="GT224" s="124"/>
      <c r="GU224" s="124"/>
      <c r="GV224" s="124"/>
      <c r="GW224" s="124"/>
      <c r="GX224" s="124"/>
      <c r="GY224" s="124"/>
      <c r="GZ224" s="124"/>
      <c r="HA224" s="124"/>
      <c r="HB224" s="124"/>
      <c r="HC224" s="124"/>
      <c r="HD224" s="124"/>
      <c r="HE224" s="124"/>
      <c r="HF224" s="124"/>
      <c r="HG224" s="124"/>
      <c r="HH224" s="124"/>
      <c r="HI224" s="124"/>
      <c r="HJ224" s="124"/>
      <c r="HK224" s="124"/>
      <c r="HL224" s="124"/>
      <c r="HM224" s="124"/>
      <c r="HN224" s="124"/>
      <c r="HO224" s="124"/>
      <c r="HP224" s="124"/>
      <c r="HQ224" s="124"/>
      <c r="HR224" s="124"/>
      <c r="HS224" s="124"/>
      <c r="HT224" s="124"/>
      <c r="HU224" s="124"/>
      <c r="HV224" s="124"/>
      <c r="HW224" s="124"/>
      <c r="HX224" s="124"/>
      <c r="HY224" s="124"/>
      <c r="HZ224" s="124"/>
      <c r="IA224" s="124"/>
      <c r="IB224" s="124"/>
      <c r="IC224" s="124"/>
      <c r="ID224" s="124"/>
      <c r="IE224" s="124"/>
      <c r="IF224" s="124"/>
      <c r="IG224" s="124"/>
      <c r="IH224" s="124"/>
      <c r="II224" s="124"/>
      <c r="IJ224" s="124"/>
    </row>
    <row r="225" spans="1:244" ht="24" customHeight="1">
      <c r="A225" s="195"/>
      <c r="B225" s="197"/>
      <c r="C225" s="195"/>
      <c r="D225" s="196"/>
      <c r="E225" s="229"/>
      <c r="F225" s="229"/>
      <c r="G225" s="229"/>
      <c r="H225" s="229"/>
      <c r="I225" s="229"/>
      <c r="J225" s="229"/>
      <c r="K225" s="229"/>
      <c r="L225" s="229"/>
      <c r="M225" s="229"/>
      <c r="N225" s="229"/>
      <c r="O225" s="229"/>
      <c r="P225" s="229"/>
      <c r="Q225" s="124"/>
      <c r="R225" s="200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  <c r="BO225" s="124"/>
      <c r="BP225" s="124"/>
      <c r="BQ225" s="124"/>
      <c r="BR225" s="124"/>
      <c r="BS225" s="124"/>
      <c r="BT225" s="124"/>
      <c r="BU225" s="124"/>
      <c r="BV225" s="124"/>
      <c r="BW225" s="124"/>
      <c r="BX225" s="124"/>
      <c r="BY225" s="124"/>
      <c r="BZ225" s="124"/>
      <c r="CA225" s="124"/>
      <c r="CB225" s="124"/>
      <c r="CC225" s="124"/>
      <c r="CD225" s="124"/>
      <c r="CE225" s="124"/>
      <c r="CF225" s="124"/>
      <c r="CG225" s="124"/>
      <c r="CH225" s="124"/>
      <c r="CI225" s="124"/>
      <c r="CJ225" s="124"/>
      <c r="CK225" s="124"/>
      <c r="CL225" s="124"/>
      <c r="CM225" s="124"/>
      <c r="CN225" s="124"/>
      <c r="CO225" s="124"/>
      <c r="CP225" s="124"/>
      <c r="CQ225" s="124"/>
      <c r="CR225" s="124"/>
      <c r="CS225" s="124"/>
      <c r="CT225" s="124"/>
      <c r="CU225" s="124"/>
      <c r="CV225" s="124"/>
      <c r="CW225" s="124"/>
      <c r="CX225" s="124"/>
      <c r="CY225" s="124"/>
      <c r="CZ225" s="124"/>
      <c r="DA225" s="124"/>
      <c r="DB225" s="124"/>
      <c r="DC225" s="124"/>
      <c r="DD225" s="124"/>
      <c r="DE225" s="124"/>
      <c r="DF225" s="124"/>
      <c r="DG225" s="124"/>
      <c r="DH225" s="124"/>
      <c r="DI225" s="124"/>
      <c r="DJ225" s="124"/>
      <c r="DK225" s="124"/>
      <c r="DL225" s="124"/>
      <c r="DM225" s="124"/>
      <c r="DN225" s="124"/>
      <c r="DO225" s="124"/>
      <c r="DP225" s="124"/>
      <c r="DQ225" s="124"/>
      <c r="DR225" s="124"/>
      <c r="DS225" s="124"/>
      <c r="DT225" s="124"/>
      <c r="DU225" s="124"/>
      <c r="DV225" s="124"/>
      <c r="DW225" s="124"/>
      <c r="DX225" s="124"/>
      <c r="DY225" s="124"/>
      <c r="DZ225" s="124"/>
      <c r="EA225" s="124"/>
      <c r="EB225" s="124"/>
      <c r="EC225" s="124"/>
      <c r="ED225" s="124"/>
      <c r="EE225" s="124"/>
      <c r="EF225" s="124"/>
      <c r="EG225" s="124"/>
      <c r="EH225" s="124"/>
      <c r="EI225" s="124"/>
      <c r="EJ225" s="124"/>
      <c r="EK225" s="124"/>
      <c r="EL225" s="124"/>
      <c r="EM225" s="124"/>
      <c r="EN225" s="124"/>
      <c r="EO225" s="124"/>
      <c r="EP225" s="124"/>
      <c r="EQ225" s="124"/>
      <c r="ER225" s="124"/>
      <c r="ES225" s="124"/>
      <c r="ET225" s="124"/>
      <c r="EU225" s="124"/>
      <c r="EV225" s="124"/>
      <c r="EW225" s="124"/>
      <c r="EX225" s="124"/>
      <c r="EY225" s="124"/>
      <c r="EZ225" s="124"/>
      <c r="FA225" s="124"/>
      <c r="FB225" s="124"/>
      <c r="FC225" s="124"/>
      <c r="FD225" s="124"/>
      <c r="FE225" s="124"/>
      <c r="FF225" s="124"/>
      <c r="FG225" s="124"/>
      <c r="FH225" s="124"/>
      <c r="FI225" s="124"/>
      <c r="FJ225" s="124"/>
      <c r="FK225" s="124"/>
      <c r="FL225" s="124"/>
      <c r="FM225" s="124"/>
      <c r="FN225" s="124"/>
      <c r="FO225" s="124"/>
      <c r="FP225" s="124"/>
      <c r="FQ225" s="124"/>
      <c r="FR225" s="124"/>
      <c r="FS225" s="124"/>
      <c r="FT225" s="124"/>
      <c r="FU225" s="124"/>
      <c r="FV225" s="124"/>
      <c r="FW225" s="124"/>
      <c r="FX225" s="124"/>
      <c r="FY225" s="124"/>
      <c r="FZ225" s="124"/>
      <c r="GA225" s="124"/>
      <c r="GB225" s="124"/>
      <c r="GC225" s="124"/>
      <c r="GD225" s="124"/>
      <c r="GE225" s="124"/>
      <c r="GF225" s="124"/>
      <c r="GG225" s="124"/>
      <c r="GH225" s="124"/>
      <c r="GI225" s="124"/>
      <c r="GJ225" s="124"/>
      <c r="GK225" s="124"/>
      <c r="GL225" s="124"/>
      <c r="GM225" s="124"/>
      <c r="GN225" s="124"/>
      <c r="GO225" s="124"/>
      <c r="GP225" s="124"/>
      <c r="GQ225" s="124"/>
      <c r="GR225" s="124"/>
      <c r="GS225" s="124"/>
      <c r="GT225" s="124"/>
      <c r="GU225" s="124"/>
      <c r="GV225" s="124"/>
      <c r="GW225" s="124"/>
      <c r="GX225" s="124"/>
      <c r="GY225" s="124"/>
      <c r="GZ225" s="124"/>
      <c r="HA225" s="124"/>
      <c r="HB225" s="124"/>
      <c r="HC225" s="124"/>
      <c r="HD225" s="124"/>
      <c r="HE225" s="124"/>
      <c r="HF225" s="124"/>
      <c r="HG225" s="124"/>
      <c r="HH225" s="124"/>
      <c r="HI225" s="124"/>
      <c r="HJ225" s="124"/>
      <c r="HK225" s="124"/>
      <c r="HL225" s="124"/>
      <c r="HM225" s="124"/>
      <c r="HN225" s="124"/>
      <c r="HO225" s="124"/>
      <c r="HP225" s="124"/>
      <c r="HQ225" s="124"/>
      <c r="HR225" s="124"/>
      <c r="HS225" s="124"/>
      <c r="HT225" s="124"/>
      <c r="HU225" s="124"/>
      <c r="HV225" s="124"/>
      <c r="HW225" s="124"/>
      <c r="HX225" s="124"/>
      <c r="HY225" s="124"/>
      <c r="HZ225" s="124"/>
      <c r="IA225" s="124"/>
      <c r="IB225" s="124"/>
      <c r="IC225" s="124"/>
      <c r="ID225" s="124"/>
      <c r="IE225" s="124"/>
      <c r="IF225" s="124"/>
      <c r="IG225" s="124"/>
      <c r="IH225" s="124"/>
      <c r="II225" s="124"/>
      <c r="IJ225" s="124"/>
    </row>
    <row r="226" spans="1:244" ht="24" customHeight="1">
      <c r="A226" s="195"/>
      <c r="B226" s="197"/>
      <c r="C226" s="303" t="s">
        <v>259</v>
      </c>
      <c r="D226" s="196">
        <f>'表2-财务收支表'!B7/'表1-生产经营预算表'!D33</f>
        <v>3.8036824793620481</v>
      </c>
      <c r="E226" s="196">
        <f>'表2-财务收支表'!C7/'表1-生产经营预算表'!E33</f>
        <v>3.1788077970168325</v>
      </c>
      <c r="F226" s="196">
        <f>'表2-财务收支表'!D7/'表1-生产经营预算表'!F33</f>
        <v>4.3663954953203294</v>
      </c>
      <c r="G226" s="196">
        <f>'表2-财务收支表'!E7/'表1-生产经营预算表'!G33</f>
        <v>3.3919394588260672</v>
      </c>
      <c r="H226" s="196">
        <f>'表2-财务收支表'!F7/'表1-生产经营预算表'!H33</f>
        <v>3.7128726523785707</v>
      </c>
      <c r="I226" s="196">
        <f>'表2-财务收支表'!G7/'表1-生产经营预算表'!I33</f>
        <v>3.3596822659356951</v>
      </c>
      <c r="J226" s="196">
        <f>'表2-财务收支表'!H7/'表1-生产经营预算表'!J33</f>
        <v>3.6574258929050925</v>
      </c>
      <c r="K226" s="196">
        <f>'表2-财务收支表'!I7/'表1-生产经营预算表'!K33</f>
        <v>4.5919601574562128</v>
      </c>
      <c r="L226" s="196">
        <f>'表2-财务收支表'!J7/'表1-生产经营预算表'!L33</f>
        <v>4.9227261779434093</v>
      </c>
      <c r="M226" s="196">
        <f>'表2-财务收支表'!K7/'表1-生产经营预算表'!M33</f>
        <v>3.5633113745338614</v>
      </c>
      <c r="N226" s="196">
        <f>'表2-财务收支表'!L7/'表1-生产经营预算表'!N33</f>
        <v>3.8879431614544813</v>
      </c>
      <c r="O226" s="196">
        <f>'表2-财务收支表'!M7/'表1-生产经营预算表'!O33</f>
        <v>3.24179413010497</v>
      </c>
      <c r="P226" s="196">
        <f>'表2-财务收支表'!N7/'表1-生产经营预算表'!P33</f>
        <v>3.4248013596151616</v>
      </c>
      <c r="Q226" s="196">
        <f>'表2-财务收支表'!O7/'表1-生产经营预算表'!Q33</f>
        <v>3.7958768345931828</v>
      </c>
      <c r="R226" s="200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  <c r="BO226" s="124"/>
      <c r="BP226" s="124"/>
      <c r="BQ226" s="124"/>
      <c r="BR226" s="124"/>
      <c r="BS226" s="124"/>
      <c r="BT226" s="124"/>
      <c r="BU226" s="124"/>
      <c r="BV226" s="124"/>
      <c r="BW226" s="124"/>
      <c r="BX226" s="124"/>
      <c r="BY226" s="124"/>
      <c r="BZ226" s="124"/>
      <c r="CA226" s="124"/>
      <c r="CB226" s="124"/>
      <c r="CC226" s="124"/>
      <c r="CD226" s="124"/>
      <c r="CE226" s="124"/>
      <c r="CF226" s="124"/>
      <c r="CG226" s="124"/>
      <c r="CH226" s="124"/>
      <c r="CI226" s="124"/>
      <c r="CJ226" s="124"/>
      <c r="CK226" s="124"/>
      <c r="CL226" s="124"/>
      <c r="CM226" s="124"/>
      <c r="CN226" s="124"/>
      <c r="CO226" s="124"/>
      <c r="CP226" s="124"/>
      <c r="CQ226" s="124"/>
      <c r="CR226" s="124"/>
      <c r="CS226" s="124"/>
      <c r="CT226" s="124"/>
      <c r="CU226" s="124"/>
      <c r="CV226" s="124"/>
      <c r="CW226" s="124"/>
      <c r="CX226" s="124"/>
      <c r="CY226" s="124"/>
      <c r="CZ226" s="124"/>
      <c r="DA226" s="124"/>
      <c r="DB226" s="124"/>
      <c r="DC226" s="124"/>
      <c r="DD226" s="124"/>
      <c r="DE226" s="124"/>
      <c r="DF226" s="124"/>
      <c r="DG226" s="124"/>
      <c r="DH226" s="124"/>
      <c r="DI226" s="124"/>
      <c r="DJ226" s="124"/>
      <c r="DK226" s="124"/>
      <c r="DL226" s="124"/>
      <c r="DM226" s="124"/>
      <c r="DN226" s="124"/>
      <c r="DO226" s="124"/>
      <c r="DP226" s="124"/>
      <c r="DQ226" s="124"/>
      <c r="DR226" s="124"/>
      <c r="DS226" s="124"/>
      <c r="DT226" s="124"/>
      <c r="DU226" s="124"/>
      <c r="DV226" s="124"/>
      <c r="DW226" s="124"/>
      <c r="DX226" s="124"/>
      <c r="DY226" s="124"/>
      <c r="DZ226" s="124"/>
      <c r="EA226" s="124"/>
      <c r="EB226" s="124"/>
      <c r="EC226" s="124"/>
      <c r="ED226" s="124"/>
      <c r="EE226" s="124"/>
      <c r="EF226" s="124"/>
      <c r="EG226" s="124"/>
      <c r="EH226" s="124"/>
      <c r="EI226" s="124"/>
      <c r="EJ226" s="124"/>
      <c r="EK226" s="124"/>
      <c r="EL226" s="124"/>
      <c r="EM226" s="124"/>
      <c r="EN226" s="124"/>
      <c r="EO226" s="124"/>
      <c r="EP226" s="124"/>
      <c r="EQ226" s="124"/>
      <c r="ER226" s="124"/>
      <c r="ES226" s="124"/>
      <c r="ET226" s="124"/>
      <c r="EU226" s="124"/>
      <c r="EV226" s="124"/>
      <c r="EW226" s="124"/>
      <c r="EX226" s="124"/>
      <c r="EY226" s="124"/>
      <c r="EZ226" s="124"/>
      <c r="FA226" s="124"/>
      <c r="FB226" s="124"/>
      <c r="FC226" s="124"/>
      <c r="FD226" s="124"/>
      <c r="FE226" s="124"/>
      <c r="FF226" s="124"/>
      <c r="FG226" s="124"/>
      <c r="FH226" s="124"/>
      <c r="FI226" s="124"/>
      <c r="FJ226" s="124"/>
      <c r="FK226" s="124"/>
      <c r="FL226" s="124"/>
      <c r="FM226" s="124"/>
      <c r="FN226" s="124"/>
      <c r="FO226" s="124"/>
      <c r="FP226" s="124"/>
      <c r="FQ226" s="124"/>
      <c r="FR226" s="124"/>
      <c r="FS226" s="124"/>
      <c r="FT226" s="124"/>
      <c r="FU226" s="124"/>
      <c r="FV226" s="124"/>
      <c r="FW226" s="124"/>
      <c r="FX226" s="124"/>
      <c r="FY226" s="124"/>
      <c r="FZ226" s="124"/>
      <c r="GA226" s="124"/>
      <c r="GB226" s="124"/>
      <c r="GC226" s="124"/>
      <c r="GD226" s="124"/>
      <c r="GE226" s="124"/>
      <c r="GF226" s="124"/>
      <c r="GG226" s="124"/>
      <c r="GH226" s="124"/>
      <c r="GI226" s="124"/>
      <c r="GJ226" s="124"/>
      <c r="GK226" s="124"/>
      <c r="GL226" s="124"/>
      <c r="GM226" s="124"/>
      <c r="GN226" s="124"/>
      <c r="GO226" s="124"/>
      <c r="GP226" s="124"/>
      <c r="GQ226" s="124"/>
      <c r="GR226" s="124"/>
      <c r="GS226" s="124"/>
      <c r="GT226" s="124"/>
      <c r="GU226" s="124"/>
      <c r="GV226" s="124"/>
      <c r="GW226" s="124"/>
      <c r="GX226" s="124"/>
      <c r="GY226" s="124"/>
      <c r="GZ226" s="124"/>
      <c r="HA226" s="124"/>
      <c r="HB226" s="124"/>
      <c r="HC226" s="124"/>
      <c r="HD226" s="124"/>
      <c r="HE226" s="124"/>
      <c r="HF226" s="124"/>
      <c r="HG226" s="124"/>
      <c r="HH226" s="124"/>
      <c r="HI226" s="124"/>
      <c r="HJ226" s="124"/>
      <c r="HK226" s="124"/>
      <c r="HL226" s="124"/>
      <c r="HM226" s="124"/>
      <c r="HN226" s="124"/>
      <c r="HO226" s="124"/>
      <c r="HP226" s="124"/>
      <c r="HQ226" s="124"/>
      <c r="HR226" s="124"/>
      <c r="HS226" s="124"/>
      <c r="HT226" s="124"/>
      <c r="HU226" s="124"/>
      <c r="HV226" s="124"/>
      <c r="HW226" s="124"/>
      <c r="HX226" s="124"/>
      <c r="HY226" s="124"/>
      <c r="HZ226" s="124"/>
      <c r="IA226" s="124"/>
      <c r="IB226" s="124"/>
      <c r="IC226" s="124"/>
      <c r="ID226" s="124"/>
      <c r="IE226" s="124"/>
      <c r="IF226" s="124"/>
      <c r="IG226" s="124"/>
      <c r="IH226" s="124"/>
      <c r="II226" s="124"/>
      <c r="IJ226" s="124"/>
    </row>
    <row r="227" spans="1:244" ht="24" customHeight="1">
      <c r="A227" s="195"/>
      <c r="B227" s="197"/>
      <c r="C227" s="195"/>
      <c r="D227" s="196"/>
      <c r="E227" s="229"/>
      <c r="F227" s="229"/>
      <c r="G227" s="229"/>
      <c r="H227" s="229"/>
      <c r="I227" s="229"/>
      <c r="J227" s="229"/>
      <c r="K227" s="229"/>
      <c r="L227" s="229"/>
      <c r="M227" s="229"/>
      <c r="N227" s="229"/>
      <c r="O227" s="229"/>
      <c r="P227" s="229"/>
      <c r="Q227" s="124"/>
      <c r="R227" s="200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  <c r="BO227" s="124"/>
      <c r="BP227" s="124"/>
      <c r="BQ227" s="124"/>
      <c r="BR227" s="124"/>
      <c r="BS227" s="124"/>
      <c r="BT227" s="124"/>
      <c r="BU227" s="124"/>
      <c r="BV227" s="124"/>
      <c r="BW227" s="124"/>
      <c r="BX227" s="124"/>
      <c r="BY227" s="124"/>
      <c r="BZ227" s="124"/>
      <c r="CA227" s="124"/>
      <c r="CB227" s="124"/>
      <c r="CC227" s="124"/>
      <c r="CD227" s="124"/>
      <c r="CE227" s="124"/>
      <c r="CF227" s="124"/>
      <c r="CG227" s="124"/>
      <c r="CH227" s="124"/>
      <c r="CI227" s="124"/>
      <c r="CJ227" s="124"/>
      <c r="CK227" s="124"/>
      <c r="CL227" s="124"/>
      <c r="CM227" s="124"/>
      <c r="CN227" s="124"/>
      <c r="CO227" s="124"/>
      <c r="CP227" s="124"/>
      <c r="CQ227" s="124"/>
      <c r="CR227" s="124"/>
      <c r="CS227" s="124"/>
      <c r="CT227" s="124"/>
      <c r="CU227" s="124"/>
      <c r="CV227" s="124"/>
      <c r="CW227" s="124"/>
      <c r="CX227" s="124"/>
      <c r="CY227" s="124"/>
      <c r="CZ227" s="124"/>
      <c r="DA227" s="124"/>
      <c r="DB227" s="124"/>
      <c r="DC227" s="124"/>
      <c r="DD227" s="124"/>
      <c r="DE227" s="124"/>
      <c r="DF227" s="124"/>
      <c r="DG227" s="124"/>
      <c r="DH227" s="124"/>
      <c r="DI227" s="124"/>
      <c r="DJ227" s="124"/>
      <c r="DK227" s="124"/>
      <c r="DL227" s="124"/>
      <c r="DM227" s="124"/>
      <c r="DN227" s="124"/>
      <c r="DO227" s="124"/>
      <c r="DP227" s="124"/>
      <c r="DQ227" s="124"/>
      <c r="DR227" s="124"/>
      <c r="DS227" s="124"/>
      <c r="DT227" s="124"/>
      <c r="DU227" s="124"/>
      <c r="DV227" s="124"/>
      <c r="DW227" s="124"/>
      <c r="DX227" s="124"/>
      <c r="DY227" s="124"/>
      <c r="DZ227" s="124"/>
      <c r="EA227" s="124"/>
      <c r="EB227" s="124"/>
      <c r="EC227" s="124"/>
      <c r="ED227" s="124"/>
      <c r="EE227" s="124"/>
      <c r="EF227" s="124"/>
      <c r="EG227" s="124"/>
      <c r="EH227" s="124"/>
      <c r="EI227" s="124"/>
      <c r="EJ227" s="124"/>
      <c r="EK227" s="124"/>
      <c r="EL227" s="124"/>
      <c r="EM227" s="124"/>
      <c r="EN227" s="124"/>
      <c r="EO227" s="124"/>
      <c r="EP227" s="124"/>
      <c r="EQ227" s="124"/>
      <c r="ER227" s="124"/>
      <c r="ES227" s="124"/>
      <c r="ET227" s="124"/>
      <c r="EU227" s="124"/>
      <c r="EV227" s="124"/>
      <c r="EW227" s="124"/>
      <c r="EX227" s="124"/>
      <c r="EY227" s="124"/>
      <c r="EZ227" s="124"/>
      <c r="FA227" s="124"/>
      <c r="FB227" s="124"/>
      <c r="FC227" s="124"/>
      <c r="FD227" s="124"/>
      <c r="FE227" s="124"/>
      <c r="FF227" s="124"/>
      <c r="FG227" s="124"/>
      <c r="FH227" s="124"/>
      <c r="FI227" s="124"/>
      <c r="FJ227" s="124"/>
      <c r="FK227" s="124"/>
      <c r="FL227" s="124"/>
      <c r="FM227" s="124"/>
      <c r="FN227" s="124"/>
      <c r="FO227" s="124"/>
      <c r="FP227" s="124"/>
      <c r="FQ227" s="124"/>
      <c r="FR227" s="124"/>
      <c r="FS227" s="124"/>
      <c r="FT227" s="124"/>
      <c r="FU227" s="124"/>
      <c r="FV227" s="124"/>
      <c r="FW227" s="124"/>
      <c r="FX227" s="124"/>
      <c r="FY227" s="124"/>
      <c r="FZ227" s="124"/>
      <c r="GA227" s="124"/>
      <c r="GB227" s="124"/>
      <c r="GC227" s="124"/>
      <c r="GD227" s="124"/>
      <c r="GE227" s="124"/>
      <c r="GF227" s="124"/>
      <c r="GG227" s="124"/>
      <c r="GH227" s="124"/>
      <c r="GI227" s="124"/>
      <c r="GJ227" s="124"/>
      <c r="GK227" s="124"/>
      <c r="GL227" s="124"/>
      <c r="GM227" s="124"/>
      <c r="GN227" s="124"/>
      <c r="GO227" s="124"/>
      <c r="GP227" s="124"/>
      <c r="GQ227" s="124"/>
      <c r="GR227" s="124"/>
      <c r="GS227" s="124"/>
      <c r="GT227" s="124"/>
      <c r="GU227" s="124"/>
      <c r="GV227" s="124"/>
      <c r="GW227" s="124"/>
      <c r="GX227" s="124"/>
      <c r="GY227" s="124"/>
      <c r="GZ227" s="124"/>
      <c r="HA227" s="124"/>
      <c r="HB227" s="124"/>
      <c r="HC227" s="124"/>
      <c r="HD227" s="124"/>
      <c r="HE227" s="124"/>
      <c r="HF227" s="124"/>
      <c r="HG227" s="124"/>
      <c r="HH227" s="124"/>
      <c r="HI227" s="124"/>
      <c r="HJ227" s="124"/>
      <c r="HK227" s="124"/>
      <c r="HL227" s="124"/>
      <c r="HM227" s="124"/>
      <c r="HN227" s="124"/>
      <c r="HO227" s="124"/>
      <c r="HP227" s="124"/>
      <c r="HQ227" s="124"/>
      <c r="HR227" s="124"/>
      <c r="HS227" s="124"/>
      <c r="HT227" s="124"/>
      <c r="HU227" s="124"/>
      <c r="HV227" s="124"/>
      <c r="HW227" s="124"/>
      <c r="HX227" s="124"/>
      <c r="HY227" s="124"/>
      <c r="HZ227" s="124"/>
      <c r="IA227" s="124"/>
      <c r="IB227" s="124"/>
      <c r="IC227" s="124"/>
      <c r="ID227" s="124"/>
      <c r="IE227" s="124"/>
      <c r="IF227" s="124"/>
      <c r="IG227" s="124"/>
      <c r="IH227" s="124"/>
      <c r="II227" s="124"/>
      <c r="IJ227" s="124"/>
    </row>
    <row r="228" spans="1:244" ht="24" customHeight="1">
      <c r="A228" s="195"/>
      <c r="B228" s="197"/>
      <c r="C228" s="195"/>
      <c r="D228" s="196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200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  <c r="BO228" s="124"/>
      <c r="BP228" s="124"/>
      <c r="BQ228" s="124"/>
      <c r="BR228" s="124"/>
      <c r="BS228" s="124"/>
      <c r="BT228" s="124"/>
      <c r="BU228" s="124"/>
      <c r="BV228" s="124"/>
      <c r="BW228" s="124"/>
      <c r="BX228" s="124"/>
      <c r="BY228" s="124"/>
      <c r="BZ228" s="124"/>
      <c r="CA228" s="124"/>
      <c r="CB228" s="124"/>
      <c r="CC228" s="124"/>
      <c r="CD228" s="124"/>
      <c r="CE228" s="124"/>
      <c r="CF228" s="124"/>
      <c r="CG228" s="124"/>
      <c r="CH228" s="124"/>
      <c r="CI228" s="124"/>
      <c r="CJ228" s="124"/>
      <c r="CK228" s="124"/>
      <c r="CL228" s="124"/>
      <c r="CM228" s="124"/>
      <c r="CN228" s="124"/>
      <c r="CO228" s="124"/>
      <c r="CP228" s="124"/>
      <c r="CQ228" s="124"/>
      <c r="CR228" s="124"/>
      <c r="CS228" s="124"/>
      <c r="CT228" s="124"/>
      <c r="CU228" s="124"/>
      <c r="CV228" s="124"/>
      <c r="CW228" s="124"/>
      <c r="CX228" s="124"/>
      <c r="CY228" s="124"/>
      <c r="CZ228" s="124"/>
      <c r="DA228" s="124"/>
      <c r="DB228" s="124"/>
      <c r="DC228" s="124"/>
      <c r="DD228" s="124"/>
      <c r="DE228" s="124"/>
      <c r="DF228" s="124"/>
      <c r="DG228" s="124"/>
      <c r="DH228" s="124"/>
      <c r="DI228" s="124"/>
      <c r="DJ228" s="124"/>
      <c r="DK228" s="124"/>
      <c r="DL228" s="124"/>
      <c r="DM228" s="124"/>
      <c r="DN228" s="124"/>
      <c r="DO228" s="124"/>
      <c r="DP228" s="124"/>
      <c r="DQ228" s="124"/>
      <c r="DR228" s="124"/>
      <c r="DS228" s="124"/>
      <c r="DT228" s="124"/>
      <c r="DU228" s="124"/>
      <c r="DV228" s="124"/>
      <c r="DW228" s="124"/>
      <c r="DX228" s="124"/>
      <c r="DY228" s="124"/>
      <c r="DZ228" s="124"/>
      <c r="EA228" s="124"/>
      <c r="EB228" s="124"/>
      <c r="EC228" s="124"/>
      <c r="ED228" s="124"/>
      <c r="EE228" s="124"/>
      <c r="EF228" s="124"/>
      <c r="EG228" s="124"/>
      <c r="EH228" s="124"/>
      <c r="EI228" s="124"/>
      <c r="EJ228" s="124"/>
      <c r="EK228" s="124"/>
      <c r="EL228" s="124"/>
      <c r="EM228" s="124"/>
      <c r="EN228" s="124"/>
      <c r="EO228" s="124"/>
      <c r="EP228" s="124"/>
      <c r="EQ228" s="124"/>
      <c r="ER228" s="124"/>
      <c r="ES228" s="124"/>
      <c r="ET228" s="124"/>
      <c r="EU228" s="124"/>
      <c r="EV228" s="124"/>
      <c r="EW228" s="124"/>
      <c r="EX228" s="124"/>
      <c r="EY228" s="124"/>
      <c r="EZ228" s="124"/>
      <c r="FA228" s="124"/>
      <c r="FB228" s="124"/>
      <c r="FC228" s="124"/>
      <c r="FD228" s="124"/>
      <c r="FE228" s="124"/>
      <c r="FF228" s="124"/>
      <c r="FG228" s="124"/>
      <c r="FH228" s="124"/>
      <c r="FI228" s="124"/>
      <c r="FJ228" s="124"/>
      <c r="FK228" s="124"/>
      <c r="FL228" s="124"/>
      <c r="FM228" s="124"/>
      <c r="FN228" s="124"/>
      <c r="FO228" s="124"/>
      <c r="FP228" s="124"/>
      <c r="FQ228" s="124"/>
      <c r="FR228" s="124"/>
      <c r="FS228" s="124"/>
      <c r="FT228" s="124"/>
      <c r="FU228" s="124"/>
      <c r="FV228" s="124"/>
      <c r="FW228" s="124"/>
      <c r="FX228" s="124"/>
      <c r="FY228" s="124"/>
      <c r="FZ228" s="124"/>
      <c r="GA228" s="124"/>
      <c r="GB228" s="124"/>
      <c r="GC228" s="124"/>
      <c r="GD228" s="124"/>
      <c r="GE228" s="124"/>
      <c r="GF228" s="124"/>
      <c r="GG228" s="124"/>
      <c r="GH228" s="124"/>
      <c r="GI228" s="124"/>
      <c r="GJ228" s="124"/>
      <c r="GK228" s="124"/>
      <c r="GL228" s="124"/>
      <c r="GM228" s="124"/>
      <c r="GN228" s="124"/>
      <c r="GO228" s="124"/>
      <c r="GP228" s="124"/>
      <c r="GQ228" s="124"/>
      <c r="GR228" s="124"/>
      <c r="GS228" s="124"/>
      <c r="GT228" s="124"/>
      <c r="GU228" s="124"/>
      <c r="GV228" s="124"/>
      <c r="GW228" s="124"/>
      <c r="GX228" s="124"/>
      <c r="GY228" s="124"/>
      <c r="GZ228" s="124"/>
      <c r="HA228" s="124"/>
      <c r="HB228" s="124"/>
      <c r="HC228" s="124"/>
      <c r="HD228" s="124"/>
      <c r="HE228" s="124"/>
      <c r="HF228" s="124"/>
      <c r="HG228" s="124"/>
      <c r="HH228" s="124"/>
      <c r="HI228" s="124"/>
      <c r="HJ228" s="124"/>
      <c r="HK228" s="124"/>
      <c r="HL228" s="124"/>
      <c r="HM228" s="124"/>
      <c r="HN228" s="124"/>
      <c r="HO228" s="124"/>
      <c r="HP228" s="124"/>
      <c r="HQ228" s="124"/>
      <c r="HR228" s="124"/>
      <c r="HS228" s="124"/>
      <c r="HT228" s="124"/>
      <c r="HU228" s="124"/>
      <c r="HV228" s="124"/>
      <c r="HW228" s="124"/>
      <c r="HX228" s="124"/>
      <c r="HY228" s="124"/>
      <c r="HZ228" s="124"/>
      <c r="IA228" s="124"/>
      <c r="IB228" s="124"/>
      <c r="IC228" s="124"/>
      <c r="ID228" s="124"/>
      <c r="IE228" s="124"/>
      <c r="IF228" s="124"/>
      <c r="IG228" s="124"/>
      <c r="IH228" s="124"/>
      <c r="II228" s="124"/>
      <c r="IJ228" s="124"/>
    </row>
    <row r="229" spans="1:244" ht="24" customHeight="1">
      <c r="A229" s="195"/>
      <c r="B229" s="197"/>
      <c r="C229" s="195"/>
      <c r="D229" s="196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124"/>
      <c r="R229" s="200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  <c r="BO229" s="124"/>
      <c r="BP229" s="124"/>
      <c r="BQ229" s="124"/>
      <c r="BR229" s="124"/>
      <c r="BS229" s="124"/>
      <c r="BT229" s="124"/>
      <c r="BU229" s="124"/>
      <c r="BV229" s="124"/>
      <c r="BW229" s="124"/>
      <c r="BX229" s="124"/>
      <c r="BY229" s="124"/>
      <c r="BZ229" s="124"/>
      <c r="CA229" s="124"/>
      <c r="CB229" s="124"/>
      <c r="CC229" s="124"/>
      <c r="CD229" s="124"/>
      <c r="CE229" s="124"/>
      <c r="CF229" s="124"/>
      <c r="CG229" s="124"/>
      <c r="CH229" s="124"/>
      <c r="CI229" s="124"/>
      <c r="CJ229" s="124"/>
      <c r="CK229" s="124"/>
      <c r="CL229" s="124"/>
      <c r="CM229" s="124"/>
      <c r="CN229" s="124"/>
      <c r="CO229" s="124"/>
      <c r="CP229" s="124"/>
      <c r="CQ229" s="124"/>
      <c r="CR229" s="124"/>
      <c r="CS229" s="124"/>
      <c r="CT229" s="124"/>
      <c r="CU229" s="124"/>
      <c r="CV229" s="124"/>
      <c r="CW229" s="124"/>
      <c r="CX229" s="124"/>
      <c r="CY229" s="124"/>
      <c r="CZ229" s="124"/>
      <c r="DA229" s="124"/>
      <c r="DB229" s="124"/>
      <c r="DC229" s="124"/>
      <c r="DD229" s="124"/>
      <c r="DE229" s="124"/>
      <c r="DF229" s="124"/>
      <c r="DG229" s="124"/>
      <c r="DH229" s="124"/>
      <c r="DI229" s="124"/>
      <c r="DJ229" s="124"/>
      <c r="DK229" s="124"/>
      <c r="DL229" s="124"/>
      <c r="DM229" s="124"/>
      <c r="DN229" s="124"/>
      <c r="DO229" s="124"/>
      <c r="DP229" s="124"/>
      <c r="DQ229" s="124"/>
      <c r="DR229" s="124"/>
      <c r="DS229" s="124"/>
      <c r="DT229" s="124"/>
      <c r="DU229" s="124"/>
      <c r="DV229" s="124"/>
      <c r="DW229" s="124"/>
      <c r="DX229" s="124"/>
      <c r="DY229" s="124"/>
      <c r="DZ229" s="124"/>
      <c r="EA229" s="124"/>
      <c r="EB229" s="124"/>
      <c r="EC229" s="124"/>
      <c r="ED229" s="124"/>
      <c r="EE229" s="124"/>
      <c r="EF229" s="124"/>
      <c r="EG229" s="124"/>
      <c r="EH229" s="124"/>
      <c r="EI229" s="124"/>
      <c r="EJ229" s="124"/>
      <c r="EK229" s="124"/>
      <c r="EL229" s="124"/>
      <c r="EM229" s="124"/>
      <c r="EN229" s="124"/>
      <c r="EO229" s="124"/>
      <c r="EP229" s="124"/>
      <c r="EQ229" s="124"/>
      <c r="ER229" s="124"/>
      <c r="ES229" s="124"/>
      <c r="ET229" s="124"/>
      <c r="EU229" s="124"/>
      <c r="EV229" s="124"/>
      <c r="EW229" s="124"/>
      <c r="EX229" s="124"/>
      <c r="EY229" s="124"/>
      <c r="EZ229" s="124"/>
      <c r="FA229" s="124"/>
      <c r="FB229" s="124"/>
      <c r="FC229" s="124"/>
      <c r="FD229" s="124"/>
      <c r="FE229" s="124"/>
      <c r="FF229" s="124"/>
      <c r="FG229" s="124"/>
      <c r="FH229" s="124"/>
      <c r="FI229" s="124"/>
      <c r="FJ229" s="124"/>
      <c r="FK229" s="124"/>
      <c r="FL229" s="124"/>
      <c r="FM229" s="124"/>
      <c r="FN229" s="124"/>
      <c r="FO229" s="124"/>
      <c r="FP229" s="124"/>
      <c r="FQ229" s="124"/>
      <c r="FR229" s="124"/>
      <c r="FS229" s="124"/>
      <c r="FT229" s="124"/>
      <c r="FU229" s="124"/>
      <c r="FV229" s="124"/>
      <c r="FW229" s="124"/>
      <c r="FX229" s="124"/>
      <c r="FY229" s="124"/>
      <c r="FZ229" s="124"/>
      <c r="GA229" s="124"/>
      <c r="GB229" s="124"/>
      <c r="GC229" s="124"/>
      <c r="GD229" s="124"/>
      <c r="GE229" s="124"/>
      <c r="GF229" s="124"/>
      <c r="GG229" s="124"/>
      <c r="GH229" s="124"/>
      <c r="GI229" s="124"/>
      <c r="GJ229" s="124"/>
      <c r="GK229" s="124"/>
      <c r="GL229" s="124"/>
      <c r="GM229" s="124"/>
      <c r="GN229" s="124"/>
      <c r="GO229" s="124"/>
      <c r="GP229" s="124"/>
      <c r="GQ229" s="124"/>
      <c r="GR229" s="124"/>
      <c r="GS229" s="124"/>
      <c r="GT229" s="124"/>
      <c r="GU229" s="124"/>
      <c r="GV229" s="124"/>
      <c r="GW229" s="124"/>
      <c r="GX229" s="124"/>
      <c r="GY229" s="124"/>
      <c r="GZ229" s="124"/>
      <c r="HA229" s="124"/>
      <c r="HB229" s="124"/>
      <c r="HC229" s="124"/>
      <c r="HD229" s="124"/>
      <c r="HE229" s="124"/>
      <c r="HF229" s="124"/>
      <c r="HG229" s="124"/>
      <c r="HH229" s="124"/>
      <c r="HI229" s="124"/>
      <c r="HJ229" s="124"/>
      <c r="HK229" s="124"/>
      <c r="HL229" s="124"/>
      <c r="HM229" s="124"/>
      <c r="HN229" s="124"/>
      <c r="HO229" s="124"/>
      <c r="HP229" s="124"/>
      <c r="HQ229" s="124"/>
      <c r="HR229" s="124"/>
      <c r="HS229" s="124"/>
      <c r="HT229" s="124"/>
      <c r="HU229" s="124"/>
      <c r="HV229" s="124"/>
      <c r="HW229" s="124"/>
      <c r="HX229" s="124"/>
      <c r="HY229" s="124"/>
      <c r="HZ229" s="124"/>
      <c r="IA229" s="124"/>
      <c r="IB229" s="124"/>
      <c r="IC229" s="124"/>
      <c r="ID229" s="124"/>
      <c r="IE229" s="124"/>
      <c r="IF229" s="124"/>
      <c r="IG229" s="124"/>
      <c r="IH229" s="124"/>
      <c r="II229" s="124"/>
      <c r="IJ229" s="124"/>
    </row>
    <row r="230" spans="1:244" ht="24" customHeight="1">
      <c r="A230" s="195"/>
      <c r="B230" s="197"/>
      <c r="C230" s="195"/>
      <c r="D230" s="196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124"/>
      <c r="R230" s="200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  <c r="BO230" s="124"/>
      <c r="BP230" s="124"/>
      <c r="BQ230" s="124"/>
      <c r="BR230" s="124"/>
      <c r="BS230" s="124"/>
      <c r="BT230" s="124"/>
      <c r="BU230" s="124"/>
      <c r="BV230" s="124"/>
      <c r="BW230" s="124"/>
      <c r="BX230" s="124"/>
      <c r="BY230" s="124"/>
      <c r="BZ230" s="124"/>
      <c r="CA230" s="124"/>
      <c r="CB230" s="124"/>
      <c r="CC230" s="124"/>
      <c r="CD230" s="124"/>
      <c r="CE230" s="124"/>
      <c r="CF230" s="124"/>
      <c r="CG230" s="124"/>
      <c r="CH230" s="124"/>
      <c r="CI230" s="124"/>
      <c r="CJ230" s="124"/>
      <c r="CK230" s="124"/>
      <c r="CL230" s="124"/>
      <c r="CM230" s="124"/>
      <c r="CN230" s="124"/>
      <c r="CO230" s="124"/>
      <c r="CP230" s="124"/>
      <c r="CQ230" s="124"/>
      <c r="CR230" s="124"/>
      <c r="CS230" s="124"/>
      <c r="CT230" s="124"/>
      <c r="CU230" s="124"/>
      <c r="CV230" s="124"/>
      <c r="CW230" s="124"/>
      <c r="CX230" s="124"/>
      <c r="CY230" s="124"/>
      <c r="CZ230" s="124"/>
      <c r="DA230" s="124"/>
      <c r="DB230" s="124"/>
      <c r="DC230" s="124"/>
      <c r="DD230" s="124"/>
      <c r="DE230" s="124"/>
      <c r="DF230" s="124"/>
      <c r="DG230" s="124"/>
      <c r="DH230" s="124"/>
      <c r="DI230" s="124"/>
      <c r="DJ230" s="124"/>
      <c r="DK230" s="124"/>
      <c r="DL230" s="124"/>
      <c r="DM230" s="124"/>
      <c r="DN230" s="124"/>
      <c r="DO230" s="124"/>
      <c r="DP230" s="124"/>
      <c r="DQ230" s="124"/>
      <c r="DR230" s="124"/>
      <c r="DS230" s="124"/>
      <c r="DT230" s="124"/>
      <c r="DU230" s="124"/>
      <c r="DV230" s="124"/>
      <c r="DW230" s="124"/>
      <c r="DX230" s="124"/>
      <c r="DY230" s="124"/>
      <c r="DZ230" s="124"/>
      <c r="EA230" s="124"/>
      <c r="EB230" s="124"/>
      <c r="EC230" s="124"/>
      <c r="ED230" s="124"/>
      <c r="EE230" s="124"/>
      <c r="EF230" s="124"/>
      <c r="EG230" s="124"/>
      <c r="EH230" s="124"/>
      <c r="EI230" s="124"/>
      <c r="EJ230" s="124"/>
      <c r="EK230" s="124"/>
      <c r="EL230" s="124"/>
      <c r="EM230" s="124"/>
      <c r="EN230" s="124"/>
      <c r="EO230" s="124"/>
      <c r="EP230" s="124"/>
      <c r="EQ230" s="124"/>
      <c r="ER230" s="124"/>
      <c r="ES230" s="124"/>
      <c r="ET230" s="124"/>
      <c r="EU230" s="124"/>
      <c r="EV230" s="124"/>
      <c r="EW230" s="124"/>
      <c r="EX230" s="124"/>
      <c r="EY230" s="124"/>
      <c r="EZ230" s="124"/>
      <c r="FA230" s="124"/>
      <c r="FB230" s="124"/>
      <c r="FC230" s="124"/>
      <c r="FD230" s="124"/>
      <c r="FE230" s="124"/>
      <c r="FF230" s="124"/>
      <c r="FG230" s="124"/>
      <c r="FH230" s="124"/>
      <c r="FI230" s="124"/>
      <c r="FJ230" s="124"/>
      <c r="FK230" s="124"/>
      <c r="FL230" s="124"/>
      <c r="FM230" s="124"/>
      <c r="FN230" s="124"/>
      <c r="FO230" s="124"/>
      <c r="FP230" s="124"/>
      <c r="FQ230" s="124"/>
      <c r="FR230" s="124"/>
      <c r="FS230" s="124"/>
      <c r="FT230" s="124"/>
      <c r="FU230" s="124"/>
      <c r="FV230" s="124"/>
      <c r="FW230" s="124"/>
      <c r="FX230" s="124"/>
      <c r="FY230" s="124"/>
      <c r="FZ230" s="124"/>
      <c r="GA230" s="124"/>
      <c r="GB230" s="124"/>
      <c r="GC230" s="124"/>
      <c r="GD230" s="124"/>
      <c r="GE230" s="124"/>
      <c r="GF230" s="124"/>
      <c r="GG230" s="124"/>
      <c r="GH230" s="124"/>
      <c r="GI230" s="124"/>
      <c r="GJ230" s="124"/>
      <c r="GK230" s="124"/>
      <c r="GL230" s="124"/>
      <c r="GM230" s="124"/>
      <c r="GN230" s="124"/>
      <c r="GO230" s="124"/>
      <c r="GP230" s="124"/>
      <c r="GQ230" s="124"/>
      <c r="GR230" s="124"/>
      <c r="GS230" s="124"/>
      <c r="GT230" s="124"/>
      <c r="GU230" s="124"/>
      <c r="GV230" s="124"/>
      <c r="GW230" s="124"/>
      <c r="GX230" s="124"/>
      <c r="GY230" s="124"/>
      <c r="GZ230" s="124"/>
      <c r="HA230" s="124"/>
      <c r="HB230" s="124"/>
      <c r="HC230" s="124"/>
      <c r="HD230" s="124"/>
      <c r="HE230" s="124"/>
      <c r="HF230" s="124"/>
      <c r="HG230" s="124"/>
      <c r="HH230" s="124"/>
      <c r="HI230" s="124"/>
      <c r="HJ230" s="124"/>
      <c r="HK230" s="124"/>
      <c r="HL230" s="124"/>
      <c r="HM230" s="124"/>
      <c r="HN230" s="124"/>
      <c r="HO230" s="124"/>
      <c r="HP230" s="124"/>
      <c r="HQ230" s="124"/>
      <c r="HR230" s="124"/>
      <c r="HS230" s="124"/>
      <c r="HT230" s="124"/>
      <c r="HU230" s="124"/>
      <c r="HV230" s="124"/>
      <c r="HW230" s="124"/>
      <c r="HX230" s="124"/>
      <c r="HY230" s="124"/>
      <c r="HZ230" s="124"/>
      <c r="IA230" s="124"/>
      <c r="IB230" s="124"/>
      <c r="IC230" s="124"/>
      <c r="ID230" s="124"/>
      <c r="IE230" s="124"/>
      <c r="IF230" s="124"/>
      <c r="IG230" s="124"/>
      <c r="IH230" s="124"/>
      <c r="II230" s="124"/>
      <c r="IJ230" s="124"/>
    </row>
    <row r="231" spans="1:244" ht="24" customHeight="1">
      <c r="A231" s="195"/>
      <c r="B231" s="197"/>
      <c r="C231" s="195"/>
      <c r="D231" s="196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124"/>
      <c r="R231" s="200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  <c r="BO231" s="124"/>
      <c r="BP231" s="124"/>
      <c r="BQ231" s="124"/>
      <c r="BR231" s="124"/>
      <c r="BS231" s="124"/>
      <c r="BT231" s="124"/>
      <c r="BU231" s="124"/>
      <c r="BV231" s="124"/>
      <c r="BW231" s="124"/>
      <c r="BX231" s="124"/>
      <c r="BY231" s="124"/>
      <c r="BZ231" s="124"/>
      <c r="CA231" s="124"/>
      <c r="CB231" s="124"/>
      <c r="CC231" s="124"/>
      <c r="CD231" s="124"/>
      <c r="CE231" s="124"/>
      <c r="CF231" s="124"/>
      <c r="CG231" s="124"/>
      <c r="CH231" s="124"/>
      <c r="CI231" s="124"/>
      <c r="CJ231" s="124"/>
      <c r="CK231" s="124"/>
      <c r="CL231" s="124"/>
      <c r="CM231" s="124"/>
      <c r="CN231" s="124"/>
      <c r="CO231" s="124"/>
      <c r="CP231" s="124"/>
      <c r="CQ231" s="124"/>
      <c r="CR231" s="124"/>
      <c r="CS231" s="124"/>
      <c r="CT231" s="124"/>
      <c r="CU231" s="124"/>
      <c r="CV231" s="124"/>
      <c r="CW231" s="124"/>
      <c r="CX231" s="124"/>
      <c r="CY231" s="124"/>
      <c r="CZ231" s="124"/>
      <c r="DA231" s="124"/>
      <c r="DB231" s="124"/>
      <c r="DC231" s="124"/>
      <c r="DD231" s="124"/>
      <c r="DE231" s="124"/>
      <c r="DF231" s="124"/>
      <c r="DG231" s="124"/>
      <c r="DH231" s="124"/>
      <c r="DI231" s="124"/>
      <c r="DJ231" s="124"/>
      <c r="DK231" s="124"/>
      <c r="DL231" s="124"/>
      <c r="DM231" s="124"/>
      <c r="DN231" s="124"/>
      <c r="DO231" s="124"/>
      <c r="DP231" s="124"/>
      <c r="DQ231" s="124"/>
      <c r="DR231" s="124"/>
      <c r="DS231" s="124"/>
      <c r="DT231" s="124"/>
      <c r="DU231" s="124"/>
      <c r="DV231" s="124"/>
      <c r="DW231" s="124"/>
      <c r="DX231" s="124"/>
      <c r="DY231" s="124"/>
      <c r="DZ231" s="124"/>
      <c r="EA231" s="124"/>
      <c r="EB231" s="124"/>
      <c r="EC231" s="124"/>
      <c r="ED231" s="124"/>
      <c r="EE231" s="124"/>
      <c r="EF231" s="124"/>
      <c r="EG231" s="124"/>
      <c r="EH231" s="124"/>
      <c r="EI231" s="124"/>
      <c r="EJ231" s="124"/>
      <c r="EK231" s="124"/>
      <c r="EL231" s="124"/>
      <c r="EM231" s="124"/>
      <c r="EN231" s="124"/>
      <c r="EO231" s="124"/>
      <c r="EP231" s="124"/>
      <c r="EQ231" s="124"/>
      <c r="ER231" s="124"/>
      <c r="ES231" s="124"/>
      <c r="ET231" s="124"/>
      <c r="EU231" s="124"/>
      <c r="EV231" s="124"/>
      <c r="EW231" s="124"/>
      <c r="EX231" s="124"/>
      <c r="EY231" s="124"/>
      <c r="EZ231" s="124"/>
      <c r="FA231" s="124"/>
      <c r="FB231" s="124"/>
      <c r="FC231" s="124"/>
      <c r="FD231" s="124"/>
      <c r="FE231" s="124"/>
      <c r="FF231" s="124"/>
      <c r="FG231" s="124"/>
      <c r="FH231" s="124"/>
      <c r="FI231" s="124"/>
      <c r="FJ231" s="124"/>
      <c r="FK231" s="124"/>
      <c r="FL231" s="124"/>
      <c r="FM231" s="124"/>
      <c r="FN231" s="124"/>
      <c r="FO231" s="124"/>
      <c r="FP231" s="124"/>
      <c r="FQ231" s="124"/>
      <c r="FR231" s="124"/>
      <c r="FS231" s="124"/>
      <c r="FT231" s="124"/>
      <c r="FU231" s="124"/>
      <c r="FV231" s="124"/>
      <c r="FW231" s="124"/>
      <c r="FX231" s="124"/>
      <c r="FY231" s="124"/>
      <c r="FZ231" s="124"/>
      <c r="GA231" s="124"/>
      <c r="GB231" s="124"/>
      <c r="GC231" s="124"/>
      <c r="GD231" s="124"/>
      <c r="GE231" s="124"/>
      <c r="GF231" s="124"/>
      <c r="GG231" s="124"/>
      <c r="GH231" s="124"/>
      <c r="GI231" s="124"/>
      <c r="GJ231" s="124"/>
      <c r="GK231" s="124"/>
      <c r="GL231" s="124"/>
      <c r="GM231" s="124"/>
      <c r="GN231" s="124"/>
      <c r="GO231" s="124"/>
      <c r="GP231" s="124"/>
      <c r="GQ231" s="124"/>
      <c r="GR231" s="124"/>
      <c r="GS231" s="124"/>
      <c r="GT231" s="124"/>
      <c r="GU231" s="124"/>
      <c r="GV231" s="124"/>
      <c r="GW231" s="124"/>
      <c r="GX231" s="124"/>
      <c r="GY231" s="124"/>
      <c r="GZ231" s="124"/>
      <c r="HA231" s="124"/>
      <c r="HB231" s="124"/>
      <c r="HC231" s="124"/>
      <c r="HD231" s="124"/>
      <c r="HE231" s="124"/>
      <c r="HF231" s="124"/>
      <c r="HG231" s="124"/>
      <c r="HH231" s="124"/>
      <c r="HI231" s="124"/>
      <c r="HJ231" s="124"/>
      <c r="HK231" s="124"/>
      <c r="HL231" s="124"/>
      <c r="HM231" s="124"/>
      <c r="HN231" s="124"/>
      <c r="HO231" s="124"/>
      <c r="HP231" s="124"/>
      <c r="HQ231" s="124"/>
      <c r="HR231" s="124"/>
      <c r="HS231" s="124"/>
      <c r="HT231" s="124"/>
      <c r="HU231" s="124"/>
      <c r="HV231" s="124"/>
      <c r="HW231" s="124"/>
      <c r="HX231" s="124"/>
      <c r="HY231" s="124"/>
      <c r="HZ231" s="124"/>
      <c r="IA231" s="124"/>
      <c r="IB231" s="124"/>
      <c r="IC231" s="124"/>
      <c r="ID231" s="124"/>
      <c r="IE231" s="124"/>
      <c r="IF231" s="124"/>
      <c r="IG231" s="124"/>
      <c r="IH231" s="124"/>
      <c r="II231" s="124"/>
      <c r="IJ231" s="124"/>
    </row>
    <row r="232" spans="1:244" ht="24" customHeight="1">
      <c r="A232" s="195"/>
      <c r="B232" s="197"/>
      <c r="C232" s="195"/>
      <c r="D232" s="196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124"/>
      <c r="R232" s="200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  <c r="BO232" s="124"/>
      <c r="BP232" s="124"/>
      <c r="BQ232" s="124"/>
      <c r="BR232" s="124"/>
      <c r="BS232" s="124"/>
      <c r="BT232" s="124"/>
      <c r="BU232" s="124"/>
      <c r="BV232" s="124"/>
      <c r="BW232" s="124"/>
      <c r="BX232" s="124"/>
      <c r="BY232" s="124"/>
      <c r="BZ232" s="124"/>
      <c r="CA232" s="124"/>
      <c r="CB232" s="124"/>
      <c r="CC232" s="124"/>
      <c r="CD232" s="124"/>
      <c r="CE232" s="124"/>
      <c r="CF232" s="124"/>
      <c r="CG232" s="124"/>
      <c r="CH232" s="124"/>
      <c r="CI232" s="124"/>
      <c r="CJ232" s="124"/>
      <c r="CK232" s="124"/>
      <c r="CL232" s="124"/>
      <c r="CM232" s="124"/>
      <c r="CN232" s="124"/>
      <c r="CO232" s="124"/>
      <c r="CP232" s="124"/>
      <c r="CQ232" s="124"/>
      <c r="CR232" s="124"/>
      <c r="CS232" s="124"/>
      <c r="CT232" s="124"/>
      <c r="CU232" s="124"/>
      <c r="CV232" s="124"/>
      <c r="CW232" s="124"/>
      <c r="CX232" s="124"/>
      <c r="CY232" s="124"/>
      <c r="CZ232" s="124"/>
      <c r="DA232" s="124"/>
      <c r="DB232" s="124"/>
      <c r="DC232" s="124"/>
      <c r="DD232" s="124"/>
      <c r="DE232" s="124"/>
      <c r="DF232" s="124"/>
      <c r="DG232" s="124"/>
      <c r="DH232" s="124"/>
      <c r="DI232" s="124"/>
      <c r="DJ232" s="124"/>
      <c r="DK232" s="124"/>
      <c r="DL232" s="124"/>
      <c r="DM232" s="124"/>
      <c r="DN232" s="124"/>
      <c r="DO232" s="124"/>
      <c r="DP232" s="124"/>
      <c r="DQ232" s="124"/>
      <c r="DR232" s="124"/>
      <c r="DS232" s="124"/>
      <c r="DT232" s="124"/>
      <c r="DU232" s="124"/>
      <c r="DV232" s="124"/>
      <c r="DW232" s="124"/>
      <c r="DX232" s="124"/>
      <c r="DY232" s="124"/>
      <c r="DZ232" s="124"/>
      <c r="EA232" s="124"/>
      <c r="EB232" s="124"/>
      <c r="EC232" s="124"/>
      <c r="ED232" s="124"/>
      <c r="EE232" s="124"/>
      <c r="EF232" s="124"/>
      <c r="EG232" s="124"/>
      <c r="EH232" s="124"/>
      <c r="EI232" s="124"/>
      <c r="EJ232" s="124"/>
      <c r="EK232" s="124"/>
      <c r="EL232" s="124"/>
      <c r="EM232" s="124"/>
      <c r="EN232" s="124"/>
      <c r="EO232" s="124"/>
      <c r="EP232" s="124"/>
      <c r="EQ232" s="124"/>
      <c r="ER232" s="124"/>
      <c r="ES232" s="124"/>
      <c r="ET232" s="124"/>
      <c r="EU232" s="124"/>
      <c r="EV232" s="124"/>
      <c r="EW232" s="124"/>
      <c r="EX232" s="124"/>
      <c r="EY232" s="124"/>
      <c r="EZ232" s="124"/>
      <c r="FA232" s="124"/>
      <c r="FB232" s="124"/>
      <c r="FC232" s="124"/>
      <c r="FD232" s="124"/>
      <c r="FE232" s="124"/>
      <c r="FF232" s="124"/>
      <c r="FG232" s="124"/>
      <c r="FH232" s="124"/>
      <c r="FI232" s="124"/>
      <c r="FJ232" s="124"/>
      <c r="FK232" s="124"/>
      <c r="FL232" s="124"/>
      <c r="FM232" s="124"/>
      <c r="FN232" s="124"/>
      <c r="FO232" s="124"/>
      <c r="FP232" s="124"/>
      <c r="FQ232" s="124"/>
      <c r="FR232" s="124"/>
      <c r="FS232" s="124"/>
      <c r="FT232" s="124"/>
      <c r="FU232" s="124"/>
      <c r="FV232" s="124"/>
      <c r="FW232" s="124"/>
      <c r="FX232" s="124"/>
      <c r="FY232" s="124"/>
      <c r="FZ232" s="124"/>
      <c r="GA232" s="124"/>
      <c r="GB232" s="124"/>
      <c r="GC232" s="124"/>
      <c r="GD232" s="124"/>
      <c r="GE232" s="124"/>
      <c r="GF232" s="124"/>
      <c r="GG232" s="124"/>
      <c r="GH232" s="124"/>
      <c r="GI232" s="124"/>
      <c r="GJ232" s="124"/>
      <c r="GK232" s="124"/>
      <c r="GL232" s="124"/>
      <c r="GM232" s="124"/>
      <c r="GN232" s="124"/>
      <c r="GO232" s="124"/>
      <c r="GP232" s="124"/>
      <c r="GQ232" s="124"/>
      <c r="GR232" s="124"/>
      <c r="GS232" s="124"/>
      <c r="GT232" s="124"/>
      <c r="GU232" s="124"/>
      <c r="GV232" s="124"/>
      <c r="GW232" s="124"/>
      <c r="GX232" s="124"/>
      <c r="GY232" s="124"/>
      <c r="GZ232" s="124"/>
      <c r="HA232" s="124"/>
      <c r="HB232" s="124"/>
      <c r="HC232" s="124"/>
      <c r="HD232" s="124"/>
      <c r="HE232" s="124"/>
      <c r="HF232" s="124"/>
      <c r="HG232" s="124"/>
      <c r="HH232" s="124"/>
      <c r="HI232" s="124"/>
      <c r="HJ232" s="124"/>
      <c r="HK232" s="124"/>
      <c r="HL232" s="124"/>
      <c r="HM232" s="124"/>
      <c r="HN232" s="124"/>
      <c r="HO232" s="124"/>
      <c r="HP232" s="124"/>
      <c r="HQ232" s="124"/>
      <c r="HR232" s="124"/>
      <c r="HS232" s="124"/>
      <c r="HT232" s="124"/>
      <c r="HU232" s="124"/>
      <c r="HV232" s="124"/>
      <c r="HW232" s="124"/>
      <c r="HX232" s="124"/>
      <c r="HY232" s="124"/>
      <c r="HZ232" s="124"/>
      <c r="IA232" s="124"/>
      <c r="IB232" s="124"/>
      <c r="IC232" s="124"/>
      <c r="ID232" s="124"/>
      <c r="IE232" s="124"/>
      <c r="IF232" s="124"/>
      <c r="IG232" s="124"/>
      <c r="IH232" s="124"/>
      <c r="II232" s="124"/>
      <c r="IJ232" s="124"/>
    </row>
    <row r="233" spans="1:244" ht="24" customHeight="1">
      <c r="A233" s="195"/>
      <c r="B233" s="197"/>
      <c r="C233" s="195"/>
      <c r="D233" s="196"/>
      <c r="E233" s="229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229"/>
      <c r="Q233" s="124"/>
      <c r="R233" s="200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  <c r="BO233" s="124"/>
      <c r="BP233" s="124"/>
      <c r="BQ233" s="124"/>
      <c r="BR233" s="124"/>
      <c r="BS233" s="124"/>
      <c r="BT233" s="124"/>
      <c r="BU233" s="124"/>
      <c r="BV233" s="124"/>
      <c r="BW233" s="124"/>
      <c r="BX233" s="124"/>
      <c r="BY233" s="124"/>
      <c r="BZ233" s="124"/>
      <c r="CA233" s="124"/>
      <c r="CB233" s="124"/>
      <c r="CC233" s="124"/>
      <c r="CD233" s="124"/>
      <c r="CE233" s="124"/>
      <c r="CF233" s="124"/>
      <c r="CG233" s="124"/>
      <c r="CH233" s="124"/>
      <c r="CI233" s="124"/>
      <c r="CJ233" s="124"/>
      <c r="CK233" s="124"/>
      <c r="CL233" s="124"/>
      <c r="CM233" s="124"/>
      <c r="CN233" s="124"/>
      <c r="CO233" s="124"/>
      <c r="CP233" s="124"/>
      <c r="CQ233" s="124"/>
      <c r="CR233" s="124"/>
      <c r="CS233" s="124"/>
      <c r="CT233" s="124"/>
      <c r="CU233" s="124"/>
      <c r="CV233" s="124"/>
      <c r="CW233" s="124"/>
      <c r="CX233" s="124"/>
      <c r="CY233" s="124"/>
      <c r="CZ233" s="124"/>
      <c r="DA233" s="124"/>
      <c r="DB233" s="124"/>
      <c r="DC233" s="124"/>
      <c r="DD233" s="124"/>
      <c r="DE233" s="124"/>
      <c r="DF233" s="124"/>
      <c r="DG233" s="124"/>
      <c r="DH233" s="124"/>
      <c r="DI233" s="124"/>
      <c r="DJ233" s="124"/>
      <c r="DK233" s="124"/>
      <c r="DL233" s="124"/>
      <c r="DM233" s="124"/>
      <c r="DN233" s="124"/>
      <c r="DO233" s="124"/>
      <c r="DP233" s="124"/>
      <c r="DQ233" s="124"/>
      <c r="DR233" s="124"/>
      <c r="DS233" s="124"/>
      <c r="DT233" s="124"/>
      <c r="DU233" s="124"/>
      <c r="DV233" s="124"/>
      <c r="DW233" s="124"/>
      <c r="DX233" s="124"/>
      <c r="DY233" s="124"/>
      <c r="DZ233" s="124"/>
      <c r="EA233" s="124"/>
      <c r="EB233" s="124"/>
      <c r="EC233" s="124"/>
      <c r="ED233" s="124"/>
      <c r="EE233" s="124"/>
      <c r="EF233" s="124"/>
      <c r="EG233" s="124"/>
      <c r="EH233" s="124"/>
      <c r="EI233" s="124"/>
      <c r="EJ233" s="124"/>
      <c r="EK233" s="124"/>
      <c r="EL233" s="124"/>
      <c r="EM233" s="124"/>
      <c r="EN233" s="124"/>
      <c r="EO233" s="124"/>
      <c r="EP233" s="124"/>
      <c r="EQ233" s="124"/>
      <c r="ER233" s="124"/>
      <c r="ES233" s="124"/>
      <c r="ET233" s="124"/>
      <c r="EU233" s="124"/>
      <c r="EV233" s="124"/>
      <c r="EW233" s="124"/>
      <c r="EX233" s="124"/>
      <c r="EY233" s="124"/>
      <c r="EZ233" s="124"/>
      <c r="FA233" s="124"/>
      <c r="FB233" s="124"/>
      <c r="FC233" s="124"/>
      <c r="FD233" s="124"/>
      <c r="FE233" s="124"/>
      <c r="FF233" s="124"/>
      <c r="FG233" s="124"/>
      <c r="FH233" s="124"/>
      <c r="FI233" s="124"/>
      <c r="FJ233" s="124"/>
      <c r="FK233" s="124"/>
      <c r="FL233" s="124"/>
      <c r="FM233" s="124"/>
      <c r="FN233" s="124"/>
      <c r="FO233" s="124"/>
      <c r="FP233" s="124"/>
      <c r="FQ233" s="124"/>
      <c r="FR233" s="124"/>
      <c r="FS233" s="124"/>
      <c r="FT233" s="124"/>
      <c r="FU233" s="124"/>
      <c r="FV233" s="124"/>
      <c r="FW233" s="124"/>
      <c r="FX233" s="124"/>
      <c r="FY233" s="124"/>
      <c r="FZ233" s="124"/>
      <c r="GA233" s="124"/>
      <c r="GB233" s="124"/>
      <c r="GC233" s="124"/>
      <c r="GD233" s="124"/>
      <c r="GE233" s="124"/>
      <c r="GF233" s="124"/>
      <c r="GG233" s="124"/>
      <c r="GH233" s="124"/>
      <c r="GI233" s="124"/>
      <c r="GJ233" s="124"/>
      <c r="GK233" s="124"/>
      <c r="GL233" s="124"/>
      <c r="GM233" s="124"/>
      <c r="GN233" s="124"/>
      <c r="GO233" s="124"/>
      <c r="GP233" s="124"/>
      <c r="GQ233" s="124"/>
      <c r="GR233" s="124"/>
      <c r="GS233" s="124"/>
      <c r="GT233" s="124"/>
      <c r="GU233" s="124"/>
      <c r="GV233" s="124"/>
      <c r="GW233" s="124"/>
      <c r="GX233" s="124"/>
      <c r="GY233" s="124"/>
      <c r="GZ233" s="124"/>
      <c r="HA233" s="124"/>
      <c r="HB233" s="124"/>
      <c r="HC233" s="124"/>
      <c r="HD233" s="124"/>
      <c r="HE233" s="124"/>
      <c r="HF233" s="124"/>
      <c r="HG233" s="124"/>
      <c r="HH233" s="124"/>
      <c r="HI233" s="124"/>
      <c r="HJ233" s="124"/>
      <c r="HK233" s="124"/>
      <c r="HL233" s="124"/>
      <c r="HM233" s="124"/>
      <c r="HN233" s="124"/>
      <c r="HO233" s="124"/>
      <c r="HP233" s="124"/>
      <c r="HQ233" s="124"/>
      <c r="HR233" s="124"/>
      <c r="HS233" s="124"/>
      <c r="HT233" s="124"/>
      <c r="HU233" s="124"/>
      <c r="HV233" s="124"/>
      <c r="HW233" s="124"/>
      <c r="HX233" s="124"/>
      <c r="HY233" s="124"/>
      <c r="HZ233" s="124"/>
      <c r="IA233" s="124"/>
      <c r="IB233" s="124"/>
      <c r="IC233" s="124"/>
      <c r="ID233" s="124"/>
      <c r="IE233" s="124"/>
      <c r="IF233" s="124"/>
      <c r="IG233" s="124"/>
      <c r="IH233" s="124"/>
      <c r="II233" s="124"/>
      <c r="IJ233" s="124"/>
    </row>
    <row r="234" spans="1:244" ht="24" customHeight="1">
      <c r="A234" s="195"/>
      <c r="B234" s="197"/>
      <c r="C234" s="195"/>
      <c r="D234" s="196"/>
      <c r="E234" s="229"/>
      <c r="F234" s="229"/>
      <c r="G234" s="229"/>
      <c r="H234" s="229"/>
      <c r="I234" s="229"/>
      <c r="J234" s="229"/>
      <c r="K234" s="229"/>
      <c r="L234" s="229"/>
      <c r="M234" s="229"/>
      <c r="N234" s="229"/>
      <c r="O234" s="229"/>
      <c r="P234" s="229"/>
      <c r="Q234" s="124"/>
      <c r="R234" s="200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  <c r="BO234" s="124"/>
      <c r="BP234" s="124"/>
      <c r="BQ234" s="124"/>
      <c r="BR234" s="124"/>
      <c r="BS234" s="124"/>
      <c r="BT234" s="124"/>
      <c r="BU234" s="124"/>
      <c r="BV234" s="124"/>
      <c r="BW234" s="124"/>
      <c r="BX234" s="124"/>
      <c r="BY234" s="124"/>
      <c r="BZ234" s="124"/>
      <c r="CA234" s="124"/>
      <c r="CB234" s="124"/>
      <c r="CC234" s="124"/>
      <c r="CD234" s="124"/>
      <c r="CE234" s="124"/>
      <c r="CF234" s="124"/>
      <c r="CG234" s="124"/>
      <c r="CH234" s="124"/>
      <c r="CI234" s="124"/>
      <c r="CJ234" s="124"/>
      <c r="CK234" s="124"/>
      <c r="CL234" s="124"/>
      <c r="CM234" s="124"/>
      <c r="CN234" s="124"/>
      <c r="CO234" s="124"/>
      <c r="CP234" s="124"/>
      <c r="CQ234" s="124"/>
      <c r="CR234" s="124"/>
      <c r="CS234" s="124"/>
      <c r="CT234" s="124"/>
      <c r="CU234" s="124"/>
      <c r="CV234" s="124"/>
      <c r="CW234" s="124"/>
      <c r="CX234" s="124"/>
      <c r="CY234" s="124"/>
      <c r="CZ234" s="124"/>
      <c r="DA234" s="124"/>
      <c r="DB234" s="124"/>
      <c r="DC234" s="124"/>
      <c r="DD234" s="124"/>
      <c r="DE234" s="124"/>
      <c r="DF234" s="124"/>
      <c r="DG234" s="124"/>
      <c r="DH234" s="124"/>
      <c r="DI234" s="124"/>
      <c r="DJ234" s="124"/>
      <c r="DK234" s="124"/>
      <c r="DL234" s="124"/>
      <c r="DM234" s="124"/>
      <c r="DN234" s="124"/>
      <c r="DO234" s="124"/>
      <c r="DP234" s="124"/>
      <c r="DQ234" s="124"/>
      <c r="DR234" s="124"/>
      <c r="DS234" s="124"/>
      <c r="DT234" s="124"/>
      <c r="DU234" s="124"/>
      <c r="DV234" s="124"/>
      <c r="DW234" s="124"/>
      <c r="DX234" s="124"/>
      <c r="DY234" s="124"/>
      <c r="DZ234" s="124"/>
      <c r="EA234" s="124"/>
      <c r="EB234" s="124"/>
      <c r="EC234" s="124"/>
      <c r="ED234" s="124"/>
      <c r="EE234" s="124"/>
      <c r="EF234" s="124"/>
      <c r="EG234" s="124"/>
      <c r="EH234" s="124"/>
      <c r="EI234" s="124"/>
      <c r="EJ234" s="124"/>
      <c r="EK234" s="124"/>
      <c r="EL234" s="124"/>
      <c r="EM234" s="124"/>
      <c r="EN234" s="124"/>
      <c r="EO234" s="124"/>
      <c r="EP234" s="124"/>
      <c r="EQ234" s="124"/>
      <c r="ER234" s="124"/>
      <c r="ES234" s="124"/>
      <c r="ET234" s="124"/>
      <c r="EU234" s="124"/>
      <c r="EV234" s="124"/>
      <c r="EW234" s="124"/>
      <c r="EX234" s="124"/>
      <c r="EY234" s="124"/>
      <c r="EZ234" s="124"/>
      <c r="FA234" s="124"/>
      <c r="FB234" s="124"/>
      <c r="FC234" s="124"/>
      <c r="FD234" s="124"/>
      <c r="FE234" s="124"/>
      <c r="FF234" s="124"/>
      <c r="FG234" s="124"/>
      <c r="FH234" s="124"/>
      <c r="FI234" s="124"/>
      <c r="FJ234" s="124"/>
      <c r="FK234" s="124"/>
      <c r="FL234" s="124"/>
      <c r="FM234" s="124"/>
      <c r="FN234" s="124"/>
      <c r="FO234" s="124"/>
      <c r="FP234" s="124"/>
      <c r="FQ234" s="124"/>
      <c r="FR234" s="124"/>
      <c r="FS234" s="124"/>
      <c r="FT234" s="124"/>
      <c r="FU234" s="124"/>
      <c r="FV234" s="124"/>
      <c r="FW234" s="124"/>
      <c r="FX234" s="124"/>
      <c r="FY234" s="124"/>
      <c r="FZ234" s="124"/>
      <c r="GA234" s="124"/>
      <c r="GB234" s="124"/>
      <c r="GC234" s="124"/>
      <c r="GD234" s="124"/>
      <c r="GE234" s="124"/>
      <c r="GF234" s="124"/>
      <c r="GG234" s="124"/>
      <c r="GH234" s="124"/>
      <c r="GI234" s="124"/>
      <c r="GJ234" s="124"/>
      <c r="GK234" s="124"/>
      <c r="GL234" s="124"/>
      <c r="GM234" s="124"/>
      <c r="GN234" s="124"/>
      <c r="GO234" s="124"/>
      <c r="GP234" s="124"/>
      <c r="GQ234" s="124"/>
      <c r="GR234" s="124"/>
      <c r="GS234" s="124"/>
      <c r="GT234" s="124"/>
      <c r="GU234" s="124"/>
      <c r="GV234" s="124"/>
      <c r="GW234" s="124"/>
      <c r="GX234" s="124"/>
      <c r="GY234" s="124"/>
      <c r="GZ234" s="124"/>
      <c r="HA234" s="124"/>
      <c r="HB234" s="124"/>
      <c r="HC234" s="124"/>
      <c r="HD234" s="124"/>
      <c r="HE234" s="124"/>
      <c r="HF234" s="124"/>
      <c r="HG234" s="124"/>
      <c r="HH234" s="124"/>
      <c r="HI234" s="124"/>
      <c r="HJ234" s="124"/>
      <c r="HK234" s="124"/>
      <c r="HL234" s="124"/>
      <c r="HM234" s="124"/>
      <c r="HN234" s="124"/>
      <c r="HO234" s="124"/>
      <c r="HP234" s="124"/>
      <c r="HQ234" s="124"/>
      <c r="HR234" s="124"/>
      <c r="HS234" s="124"/>
      <c r="HT234" s="124"/>
      <c r="HU234" s="124"/>
      <c r="HV234" s="124"/>
      <c r="HW234" s="124"/>
      <c r="HX234" s="124"/>
      <c r="HY234" s="124"/>
      <c r="HZ234" s="124"/>
      <c r="IA234" s="124"/>
      <c r="IB234" s="124"/>
      <c r="IC234" s="124"/>
      <c r="ID234" s="124"/>
      <c r="IE234" s="124"/>
      <c r="IF234" s="124"/>
      <c r="IG234" s="124"/>
      <c r="IH234" s="124"/>
      <c r="II234" s="124"/>
      <c r="IJ234" s="124"/>
    </row>
    <row r="235" spans="1:244" ht="24" customHeight="1">
      <c r="A235" s="195"/>
      <c r="B235" s="197"/>
      <c r="C235" s="195"/>
      <c r="D235" s="196"/>
      <c r="E235" s="229"/>
      <c r="F235" s="229"/>
      <c r="G235" s="229"/>
      <c r="H235" s="229"/>
      <c r="I235" s="229"/>
      <c r="J235" s="229"/>
      <c r="K235" s="229"/>
      <c r="L235" s="229"/>
      <c r="M235" s="229"/>
      <c r="N235" s="229"/>
      <c r="O235" s="229"/>
      <c r="P235" s="229"/>
      <c r="Q235" s="124"/>
      <c r="R235" s="200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  <c r="BO235" s="124"/>
      <c r="BP235" s="124"/>
      <c r="BQ235" s="124"/>
      <c r="BR235" s="124"/>
      <c r="BS235" s="124"/>
      <c r="BT235" s="124"/>
      <c r="BU235" s="124"/>
      <c r="BV235" s="124"/>
      <c r="BW235" s="124"/>
      <c r="BX235" s="124"/>
      <c r="BY235" s="124"/>
      <c r="BZ235" s="124"/>
      <c r="CA235" s="124"/>
      <c r="CB235" s="124"/>
      <c r="CC235" s="124"/>
      <c r="CD235" s="124"/>
      <c r="CE235" s="124"/>
      <c r="CF235" s="124"/>
      <c r="CG235" s="124"/>
      <c r="CH235" s="124"/>
      <c r="CI235" s="124"/>
      <c r="CJ235" s="124"/>
      <c r="CK235" s="124"/>
      <c r="CL235" s="124"/>
      <c r="CM235" s="124"/>
      <c r="CN235" s="124"/>
      <c r="CO235" s="124"/>
      <c r="CP235" s="124"/>
      <c r="CQ235" s="124"/>
      <c r="CR235" s="124"/>
      <c r="CS235" s="124"/>
      <c r="CT235" s="124"/>
      <c r="CU235" s="124"/>
      <c r="CV235" s="124"/>
      <c r="CW235" s="124"/>
      <c r="CX235" s="124"/>
      <c r="CY235" s="124"/>
      <c r="CZ235" s="124"/>
      <c r="DA235" s="124"/>
      <c r="DB235" s="124"/>
      <c r="DC235" s="124"/>
      <c r="DD235" s="124"/>
      <c r="DE235" s="124"/>
      <c r="DF235" s="124"/>
      <c r="DG235" s="124"/>
      <c r="DH235" s="124"/>
      <c r="DI235" s="124"/>
      <c r="DJ235" s="124"/>
      <c r="DK235" s="124"/>
      <c r="DL235" s="124"/>
      <c r="DM235" s="124"/>
      <c r="DN235" s="124"/>
      <c r="DO235" s="124"/>
      <c r="DP235" s="124"/>
      <c r="DQ235" s="124"/>
      <c r="DR235" s="124"/>
      <c r="DS235" s="124"/>
      <c r="DT235" s="124"/>
      <c r="DU235" s="124"/>
      <c r="DV235" s="124"/>
      <c r="DW235" s="124"/>
      <c r="DX235" s="124"/>
      <c r="DY235" s="124"/>
      <c r="DZ235" s="124"/>
      <c r="EA235" s="124"/>
      <c r="EB235" s="124"/>
      <c r="EC235" s="124"/>
      <c r="ED235" s="124"/>
      <c r="EE235" s="124"/>
      <c r="EF235" s="124"/>
      <c r="EG235" s="124"/>
      <c r="EH235" s="124"/>
      <c r="EI235" s="124"/>
      <c r="EJ235" s="124"/>
      <c r="EK235" s="124"/>
      <c r="EL235" s="124"/>
      <c r="EM235" s="124"/>
      <c r="EN235" s="124"/>
      <c r="EO235" s="124"/>
      <c r="EP235" s="124"/>
      <c r="EQ235" s="124"/>
      <c r="ER235" s="124"/>
      <c r="ES235" s="124"/>
      <c r="ET235" s="124"/>
      <c r="EU235" s="124"/>
      <c r="EV235" s="124"/>
      <c r="EW235" s="124"/>
      <c r="EX235" s="124"/>
      <c r="EY235" s="124"/>
      <c r="EZ235" s="124"/>
      <c r="FA235" s="124"/>
      <c r="FB235" s="124"/>
      <c r="FC235" s="124"/>
      <c r="FD235" s="124"/>
      <c r="FE235" s="124"/>
      <c r="FF235" s="124"/>
      <c r="FG235" s="124"/>
      <c r="FH235" s="124"/>
      <c r="FI235" s="124"/>
      <c r="FJ235" s="124"/>
      <c r="FK235" s="124"/>
      <c r="FL235" s="124"/>
      <c r="FM235" s="124"/>
      <c r="FN235" s="124"/>
      <c r="FO235" s="124"/>
      <c r="FP235" s="124"/>
      <c r="FQ235" s="124"/>
      <c r="FR235" s="124"/>
      <c r="FS235" s="124"/>
      <c r="FT235" s="124"/>
      <c r="FU235" s="124"/>
      <c r="FV235" s="124"/>
      <c r="FW235" s="124"/>
      <c r="FX235" s="124"/>
      <c r="FY235" s="124"/>
      <c r="FZ235" s="124"/>
      <c r="GA235" s="124"/>
      <c r="GB235" s="124"/>
      <c r="GC235" s="124"/>
      <c r="GD235" s="124"/>
      <c r="GE235" s="124"/>
      <c r="GF235" s="124"/>
      <c r="GG235" s="124"/>
      <c r="GH235" s="124"/>
      <c r="GI235" s="124"/>
      <c r="GJ235" s="124"/>
      <c r="GK235" s="124"/>
      <c r="GL235" s="124"/>
      <c r="GM235" s="124"/>
      <c r="GN235" s="124"/>
      <c r="GO235" s="124"/>
      <c r="GP235" s="124"/>
      <c r="GQ235" s="124"/>
      <c r="GR235" s="124"/>
      <c r="GS235" s="124"/>
      <c r="GT235" s="124"/>
      <c r="GU235" s="124"/>
      <c r="GV235" s="124"/>
      <c r="GW235" s="124"/>
      <c r="GX235" s="124"/>
      <c r="GY235" s="124"/>
      <c r="GZ235" s="124"/>
      <c r="HA235" s="124"/>
      <c r="HB235" s="124"/>
      <c r="HC235" s="124"/>
      <c r="HD235" s="124"/>
      <c r="HE235" s="124"/>
      <c r="HF235" s="124"/>
      <c r="HG235" s="124"/>
      <c r="HH235" s="124"/>
      <c r="HI235" s="124"/>
      <c r="HJ235" s="124"/>
      <c r="HK235" s="124"/>
      <c r="HL235" s="124"/>
      <c r="HM235" s="124"/>
      <c r="HN235" s="124"/>
      <c r="HO235" s="124"/>
      <c r="HP235" s="124"/>
      <c r="HQ235" s="124"/>
      <c r="HR235" s="124"/>
      <c r="HS235" s="124"/>
      <c r="HT235" s="124"/>
      <c r="HU235" s="124"/>
      <c r="HV235" s="124"/>
      <c r="HW235" s="124"/>
      <c r="HX235" s="124"/>
      <c r="HY235" s="124"/>
      <c r="HZ235" s="124"/>
      <c r="IA235" s="124"/>
      <c r="IB235" s="124"/>
      <c r="IC235" s="124"/>
      <c r="ID235" s="124"/>
      <c r="IE235" s="124"/>
      <c r="IF235" s="124"/>
      <c r="IG235" s="124"/>
      <c r="IH235" s="124"/>
      <c r="II235" s="124"/>
      <c r="IJ235" s="124"/>
    </row>
    <row r="236" spans="1:244" ht="24" customHeight="1">
      <c r="A236" s="195"/>
      <c r="B236" s="197"/>
      <c r="C236" s="195"/>
      <c r="D236" s="196"/>
      <c r="E236" s="229"/>
      <c r="F236" s="229"/>
      <c r="G236" s="229"/>
      <c r="H236" s="229"/>
      <c r="I236" s="229"/>
      <c r="J236" s="229"/>
      <c r="K236" s="229"/>
      <c r="L236" s="229"/>
      <c r="M236" s="229"/>
      <c r="N236" s="229"/>
      <c r="O236" s="229"/>
      <c r="P236" s="229"/>
      <c r="Q236" s="124"/>
      <c r="R236" s="200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  <c r="BO236" s="124"/>
      <c r="BP236" s="124"/>
      <c r="BQ236" s="124"/>
      <c r="BR236" s="124"/>
      <c r="BS236" s="124"/>
      <c r="BT236" s="124"/>
      <c r="BU236" s="124"/>
      <c r="BV236" s="124"/>
      <c r="BW236" s="124"/>
      <c r="BX236" s="124"/>
      <c r="BY236" s="124"/>
      <c r="BZ236" s="124"/>
      <c r="CA236" s="124"/>
      <c r="CB236" s="124"/>
      <c r="CC236" s="124"/>
      <c r="CD236" s="124"/>
      <c r="CE236" s="124"/>
      <c r="CF236" s="124"/>
      <c r="CG236" s="124"/>
      <c r="CH236" s="124"/>
      <c r="CI236" s="124"/>
      <c r="CJ236" s="124"/>
      <c r="CK236" s="124"/>
      <c r="CL236" s="124"/>
      <c r="CM236" s="124"/>
      <c r="CN236" s="124"/>
      <c r="CO236" s="124"/>
      <c r="CP236" s="124"/>
      <c r="CQ236" s="124"/>
      <c r="CR236" s="124"/>
      <c r="CS236" s="124"/>
      <c r="CT236" s="124"/>
      <c r="CU236" s="124"/>
      <c r="CV236" s="124"/>
      <c r="CW236" s="124"/>
      <c r="CX236" s="124"/>
      <c r="CY236" s="124"/>
      <c r="CZ236" s="124"/>
      <c r="DA236" s="124"/>
      <c r="DB236" s="124"/>
      <c r="DC236" s="124"/>
      <c r="DD236" s="124"/>
      <c r="DE236" s="124"/>
      <c r="DF236" s="124"/>
      <c r="DG236" s="124"/>
      <c r="DH236" s="124"/>
      <c r="DI236" s="124"/>
      <c r="DJ236" s="124"/>
      <c r="DK236" s="124"/>
      <c r="DL236" s="124"/>
      <c r="DM236" s="124"/>
      <c r="DN236" s="124"/>
      <c r="DO236" s="124"/>
      <c r="DP236" s="124"/>
      <c r="DQ236" s="124"/>
      <c r="DR236" s="124"/>
      <c r="DS236" s="124"/>
      <c r="DT236" s="124"/>
      <c r="DU236" s="124"/>
      <c r="DV236" s="124"/>
      <c r="DW236" s="124"/>
      <c r="DX236" s="124"/>
      <c r="DY236" s="124"/>
      <c r="DZ236" s="124"/>
      <c r="EA236" s="124"/>
      <c r="EB236" s="124"/>
      <c r="EC236" s="124"/>
      <c r="ED236" s="124"/>
      <c r="EE236" s="124"/>
      <c r="EF236" s="124"/>
      <c r="EG236" s="124"/>
      <c r="EH236" s="124"/>
      <c r="EI236" s="124"/>
      <c r="EJ236" s="124"/>
      <c r="EK236" s="124"/>
      <c r="EL236" s="124"/>
      <c r="EM236" s="124"/>
      <c r="EN236" s="124"/>
      <c r="EO236" s="124"/>
      <c r="EP236" s="124"/>
      <c r="EQ236" s="124"/>
      <c r="ER236" s="124"/>
      <c r="ES236" s="124"/>
      <c r="ET236" s="124"/>
      <c r="EU236" s="124"/>
      <c r="EV236" s="124"/>
      <c r="EW236" s="124"/>
      <c r="EX236" s="124"/>
      <c r="EY236" s="124"/>
      <c r="EZ236" s="124"/>
      <c r="FA236" s="124"/>
      <c r="FB236" s="124"/>
      <c r="FC236" s="124"/>
      <c r="FD236" s="124"/>
      <c r="FE236" s="124"/>
      <c r="FF236" s="124"/>
      <c r="FG236" s="124"/>
      <c r="FH236" s="124"/>
      <c r="FI236" s="124"/>
      <c r="FJ236" s="124"/>
      <c r="FK236" s="124"/>
      <c r="FL236" s="124"/>
      <c r="FM236" s="124"/>
      <c r="FN236" s="124"/>
      <c r="FO236" s="124"/>
      <c r="FP236" s="124"/>
      <c r="FQ236" s="124"/>
      <c r="FR236" s="124"/>
      <c r="FS236" s="124"/>
      <c r="FT236" s="124"/>
      <c r="FU236" s="124"/>
      <c r="FV236" s="124"/>
      <c r="FW236" s="124"/>
      <c r="FX236" s="124"/>
      <c r="FY236" s="124"/>
      <c r="FZ236" s="124"/>
      <c r="GA236" s="124"/>
      <c r="GB236" s="124"/>
      <c r="GC236" s="124"/>
      <c r="GD236" s="124"/>
      <c r="GE236" s="124"/>
      <c r="GF236" s="124"/>
      <c r="GG236" s="124"/>
      <c r="GH236" s="124"/>
      <c r="GI236" s="124"/>
      <c r="GJ236" s="124"/>
      <c r="GK236" s="124"/>
      <c r="GL236" s="124"/>
      <c r="GM236" s="124"/>
      <c r="GN236" s="124"/>
      <c r="GO236" s="124"/>
      <c r="GP236" s="124"/>
      <c r="GQ236" s="124"/>
      <c r="GR236" s="124"/>
      <c r="GS236" s="124"/>
      <c r="GT236" s="124"/>
      <c r="GU236" s="124"/>
      <c r="GV236" s="124"/>
      <c r="GW236" s="124"/>
      <c r="GX236" s="124"/>
      <c r="GY236" s="124"/>
      <c r="GZ236" s="124"/>
      <c r="HA236" s="124"/>
      <c r="HB236" s="124"/>
      <c r="HC236" s="124"/>
      <c r="HD236" s="124"/>
      <c r="HE236" s="124"/>
      <c r="HF236" s="124"/>
      <c r="HG236" s="124"/>
      <c r="HH236" s="124"/>
      <c r="HI236" s="124"/>
      <c r="HJ236" s="124"/>
      <c r="HK236" s="124"/>
      <c r="HL236" s="124"/>
      <c r="HM236" s="124"/>
      <c r="HN236" s="124"/>
      <c r="HO236" s="124"/>
      <c r="HP236" s="124"/>
      <c r="HQ236" s="124"/>
      <c r="HR236" s="124"/>
      <c r="HS236" s="124"/>
      <c r="HT236" s="124"/>
      <c r="HU236" s="124"/>
      <c r="HV236" s="124"/>
      <c r="HW236" s="124"/>
      <c r="HX236" s="124"/>
      <c r="HY236" s="124"/>
      <c r="HZ236" s="124"/>
      <c r="IA236" s="124"/>
      <c r="IB236" s="124"/>
      <c r="IC236" s="124"/>
      <c r="ID236" s="124"/>
      <c r="IE236" s="124"/>
      <c r="IF236" s="124"/>
      <c r="IG236" s="124"/>
      <c r="IH236" s="124"/>
      <c r="II236" s="124"/>
      <c r="IJ236" s="124"/>
    </row>
    <row r="237" spans="1:244" ht="24" customHeight="1">
      <c r="A237" s="195"/>
      <c r="B237" s="197"/>
      <c r="C237" s="195"/>
      <c r="D237" s="196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200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  <c r="BO237" s="124"/>
      <c r="BP237" s="124"/>
      <c r="BQ237" s="124"/>
      <c r="BR237" s="124"/>
      <c r="BS237" s="124"/>
      <c r="BT237" s="124"/>
      <c r="BU237" s="124"/>
      <c r="BV237" s="124"/>
      <c r="BW237" s="124"/>
      <c r="BX237" s="124"/>
      <c r="BY237" s="124"/>
      <c r="BZ237" s="124"/>
      <c r="CA237" s="124"/>
      <c r="CB237" s="124"/>
      <c r="CC237" s="124"/>
      <c r="CD237" s="124"/>
      <c r="CE237" s="124"/>
      <c r="CF237" s="124"/>
      <c r="CG237" s="124"/>
      <c r="CH237" s="124"/>
      <c r="CI237" s="124"/>
      <c r="CJ237" s="124"/>
      <c r="CK237" s="124"/>
      <c r="CL237" s="124"/>
      <c r="CM237" s="124"/>
      <c r="CN237" s="124"/>
      <c r="CO237" s="124"/>
      <c r="CP237" s="124"/>
      <c r="CQ237" s="124"/>
      <c r="CR237" s="124"/>
      <c r="CS237" s="124"/>
      <c r="CT237" s="124"/>
      <c r="CU237" s="124"/>
      <c r="CV237" s="124"/>
      <c r="CW237" s="124"/>
      <c r="CX237" s="124"/>
      <c r="CY237" s="124"/>
      <c r="CZ237" s="124"/>
      <c r="DA237" s="124"/>
      <c r="DB237" s="124"/>
      <c r="DC237" s="124"/>
      <c r="DD237" s="124"/>
      <c r="DE237" s="124"/>
      <c r="DF237" s="124"/>
      <c r="DG237" s="124"/>
      <c r="DH237" s="124"/>
      <c r="DI237" s="124"/>
      <c r="DJ237" s="124"/>
      <c r="DK237" s="124"/>
      <c r="DL237" s="124"/>
      <c r="DM237" s="124"/>
      <c r="DN237" s="124"/>
      <c r="DO237" s="124"/>
      <c r="DP237" s="124"/>
      <c r="DQ237" s="124"/>
      <c r="DR237" s="124"/>
      <c r="DS237" s="124"/>
      <c r="DT237" s="124"/>
      <c r="DU237" s="124"/>
      <c r="DV237" s="124"/>
      <c r="DW237" s="124"/>
      <c r="DX237" s="124"/>
      <c r="DY237" s="124"/>
      <c r="DZ237" s="124"/>
      <c r="EA237" s="124"/>
      <c r="EB237" s="124"/>
      <c r="EC237" s="124"/>
      <c r="ED237" s="124"/>
      <c r="EE237" s="124"/>
      <c r="EF237" s="124"/>
      <c r="EG237" s="124"/>
      <c r="EH237" s="124"/>
      <c r="EI237" s="124"/>
      <c r="EJ237" s="124"/>
      <c r="EK237" s="124"/>
      <c r="EL237" s="124"/>
      <c r="EM237" s="124"/>
      <c r="EN237" s="124"/>
      <c r="EO237" s="124"/>
      <c r="EP237" s="124"/>
      <c r="EQ237" s="124"/>
      <c r="ER237" s="124"/>
      <c r="ES237" s="124"/>
      <c r="ET237" s="124"/>
      <c r="EU237" s="124"/>
      <c r="EV237" s="124"/>
      <c r="EW237" s="124"/>
      <c r="EX237" s="124"/>
      <c r="EY237" s="124"/>
      <c r="EZ237" s="124"/>
      <c r="FA237" s="124"/>
      <c r="FB237" s="124"/>
      <c r="FC237" s="124"/>
      <c r="FD237" s="124"/>
      <c r="FE237" s="124"/>
      <c r="FF237" s="124"/>
      <c r="FG237" s="124"/>
      <c r="FH237" s="124"/>
      <c r="FI237" s="124"/>
      <c r="FJ237" s="124"/>
      <c r="FK237" s="124"/>
      <c r="FL237" s="124"/>
      <c r="FM237" s="124"/>
      <c r="FN237" s="124"/>
      <c r="FO237" s="124"/>
      <c r="FP237" s="124"/>
      <c r="FQ237" s="124"/>
      <c r="FR237" s="124"/>
      <c r="FS237" s="124"/>
      <c r="FT237" s="124"/>
      <c r="FU237" s="124"/>
      <c r="FV237" s="124"/>
      <c r="FW237" s="124"/>
      <c r="FX237" s="124"/>
      <c r="FY237" s="124"/>
      <c r="FZ237" s="124"/>
      <c r="GA237" s="124"/>
      <c r="GB237" s="124"/>
      <c r="GC237" s="124"/>
      <c r="GD237" s="124"/>
      <c r="GE237" s="124"/>
      <c r="GF237" s="124"/>
      <c r="GG237" s="124"/>
      <c r="GH237" s="124"/>
      <c r="GI237" s="124"/>
      <c r="GJ237" s="124"/>
      <c r="GK237" s="124"/>
      <c r="GL237" s="124"/>
      <c r="GM237" s="124"/>
      <c r="GN237" s="124"/>
      <c r="GO237" s="124"/>
      <c r="GP237" s="124"/>
      <c r="GQ237" s="124"/>
      <c r="GR237" s="124"/>
      <c r="GS237" s="124"/>
      <c r="GT237" s="124"/>
      <c r="GU237" s="124"/>
      <c r="GV237" s="124"/>
      <c r="GW237" s="124"/>
      <c r="GX237" s="124"/>
      <c r="GY237" s="124"/>
      <c r="GZ237" s="124"/>
      <c r="HA237" s="124"/>
      <c r="HB237" s="124"/>
      <c r="HC237" s="124"/>
      <c r="HD237" s="124"/>
      <c r="HE237" s="124"/>
      <c r="HF237" s="124"/>
      <c r="HG237" s="124"/>
      <c r="HH237" s="124"/>
      <c r="HI237" s="124"/>
      <c r="HJ237" s="124"/>
      <c r="HK237" s="124"/>
      <c r="HL237" s="124"/>
      <c r="HM237" s="124"/>
      <c r="HN237" s="124"/>
      <c r="HO237" s="124"/>
      <c r="HP237" s="124"/>
      <c r="HQ237" s="124"/>
      <c r="HR237" s="124"/>
      <c r="HS237" s="124"/>
      <c r="HT237" s="124"/>
      <c r="HU237" s="124"/>
      <c r="HV237" s="124"/>
      <c r="HW237" s="124"/>
      <c r="HX237" s="124"/>
      <c r="HY237" s="124"/>
      <c r="HZ237" s="124"/>
      <c r="IA237" s="124"/>
      <c r="IB237" s="124"/>
      <c r="IC237" s="124"/>
      <c r="ID237" s="124"/>
      <c r="IE237" s="124"/>
      <c r="IF237" s="124"/>
      <c r="IG237" s="124"/>
      <c r="IH237" s="124"/>
      <c r="II237" s="124"/>
      <c r="IJ237" s="124"/>
    </row>
    <row r="238" spans="1:244" ht="24" customHeight="1">
      <c r="A238" s="195"/>
      <c r="B238" s="197"/>
      <c r="C238" s="195"/>
      <c r="D238" s="196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200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  <c r="BO238" s="124"/>
      <c r="BP238" s="124"/>
      <c r="BQ238" s="124"/>
      <c r="BR238" s="124"/>
      <c r="BS238" s="124"/>
      <c r="BT238" s="124"/>
      <c r="BU238" s="124"/>
      <c r="BV238" s="124"/>
      <c r="BW238" s="124"/>
      <c r="BX238" s="124"/>
      <c r="BY238" s="124"/>
      <c r="BZ238" s="124"/>
      <c r="CA238" s="124"/>
      <c r="CB238" s="124"/>
      <c r="CC238" s="124"/>
      <c r="CD238" s="124"/>
      <c r="CE238" s="124"/>
      <c r="CF238" s="124"/>
      <c r="CG238" s="124"/>
      <c r="CH238" s="124"/>
      <c r="CI238" s="124"/>
      <c r="CJ238" s="124"/>
      <c r="CK238" s="124"/>
      <c r="CL238" s="124"/>
      <c r="CM238" s="124"/>
      <c r="CN238" s="124"/>
      <c r="CO238" s="124"/>
      <c r="CP238" s="124"/>
      <c r="CQ238" s="124"/>
      <c r="CR238" s="124"/>
      <c r="CS238" s="124"/>
      <c r="CT238" s="124"/>
      <c r="CU238" s="124"/>
      <c r="CV238" s="124"/>
      <c r="CW238" s="124"/>
      <c r="CX238" s="124"/>
      <c r="CY238" s="124"/>
      <c r="CZ238" s="124"/>
      <c r="DA238" s="124"/>
      <c r="DB238" s="124"/>
      <c r="DC238" s="124"/>
      <c r="DD238" s="124"/>
      <c r="DE238" s="124"/>
      <c r="DF238" s="124"/>
      <c r="DG238" s="124"/>
      <c r="DH238" s="124"/>
      <c r="DI238" s="124"/>
      <c r="DJ238" s="124"/>
      <c r="DK238" s="124"/>
      <c r="DL238" s="124"/>
      <c r="DM238" s="124"/>
      <c r="DN238" s="124"/>
      <c r="DO238" s="124"/>
      <c r="DP238" s="124"/>
      <c r="DQ238" s="124"/>
      <c r="DR238" s="124"/>
      <c r="DS238" s="124"/>
      <c r="DT238" s="124"/>
      <c r="DU238" s="124"/>
      <c r="DV238" s="124"/>
      <c r="DW238" s="124"/>
      <c r="DX238" s="124"/>
      <c r="DY238" s="124"/>
      <c r="DZ238" s="124"/>
      <c r="EA238" s="124"/>
      <c r="EB238" s="124"/>
      <c r="EC238" s="124"/>
      <c r="ED238" s="124"/>
      <c r="EE238" s="124"/>
      <c r="EF238" s="124"/>
      <c r="EG238" s="124"/>
      <c r="EH238" s="124"/>
      <c r="EI238" s="124"/>
      <c r="EJ238" s="124"/>
      <c r="EK238" s="124"/>
      <c r="EL238" s="124"/>
      <c r="EM238" s="124"/>
      <c r="EN238" s="124"/>
      <c r="EO238" s="124"/>
      <c r="EP238" s="124"/>
      <c r="EQ238" s="124"/>
      <c r="ER238" s="124"/>
      <c r="ES238" s="124"/>
      <c r="ET238" s="124"/>
      <c r="EU238" s="124"/>
      <c r="EV238" s="124"/>
      <c r="EW238" s="124"/>
      <c r="EX238" s="124"/>
      <c r="EY238" s="124"/>
      <c r="EZ238" s="124"/>
      <c r="FA238" s="124"/>
      <c r="FB238" s="124"/>
      <c r="FC238" s="124"/>
      <c r="FD238" s="124"/>
      <c r="FE238" s="124"/>
      <c r="FF238" s="124"/>
      <c r="FG238" s="124"/>
      <c r="FH238" s="124"/>
      <c r="FI238" s="124"/>
      <c r="FJ238" s="124"/>
      <c r="FK238" s="124"/>
      <c r="FL238" s="124"/>
      <c r="FM238" s="124"/>
      <c r="FN238" s="124"/>
      <c r="FO238" s="124"/>
      <c r="FP238" s="124"/>
      <c r="FQ238" s="124"/>
      <c r="FR238" s="124"/>
      <c r="FS238" s="124"/>
      <c r="FT238" s="124"/>
      <c r="FU238" s="124"/>
      <c r="FV238" s="124"/>
      <c r="FW238" s="124"/>
      <c r="FX238" s="124"/>
      <c r="FY238" s="124"/>
      <c r="FZ238" s="124"/>
      <c r="GA238" s="124"/>
      <c r="GB238" s="124"/>
      <c r="GC238" s="124"/>
      <c r="GD238" s="124"/>
      <c r="GE238" s="124"/>
      <c r="GF238" s="124"/>
      <c r="GG238" s="124"/>
      <c r="GH238" s="124"/>
      <c r="GI238" s="124"/>
      <c r="GJ238" s="124"/>
      <c r="GK238" s="124"/>
      <c r="GL238" s="124"/>
      <c r="GM238" s="124"/>
      <c r="GN238" s="124"/>
      <c r="GO238" s="124"/>
      <c r="GP238" s="124"/>
      <c r="GQ238" s="124"/>
      <c r="GR238" s="124"/>
      <c r="GS238" s="124"/>
      <c r="GT238" s="124"/>
      <c r="GU238" s="124"/>
      <c r="GV238" s="124"/>
      <c r="GW238" s="124"/>
      <c r="GX238" s="124"/>
      <c r="GY238" s="124"/>
      <c r="GZ238" s="124"/>
      <c r="HA238" s="124"/>
      <c r="HB238" s="124"/>
      <c r="HC238" s="124"/>
      <c r="HD238" s="124"/>
      <c r="HE238" s="124"/>
      <c r="HF238" s="124"/>
      <c r="HG238" s="124"/>
      <c r="HH238" s="124"/>
      <c r="HI238" s="124"/>
      <c r="HJ238" s="124"/>
      <c r="HK238" s="124"/>
      <c r="HL238" s="124"/>
      <c r="HM238" s="124"/>
      <c r="HN238" s="124"/>
      <c r="HO238" s="124"/>
      <c r="HP238" s="124"/>
      <c r="HQ238" s="124"/>
      <c r="HR238" s="124"/>
      <c r="HS238" s="124"/>
      <c r="HT238" s="124"/>
      <c r="HU238" s="124"/>
      <c r="HV238" s="124"/>
      <c r="HW238" s="124"/>
      <c r="HX238" s="124"/>
      <c r="HY238" s="124"/>
      <c r="HZ238" s="124"/>
      <c r="IA238" s="124"/>
      <c r="IB238" s="124"/>
      <c r="IC238" s="124"/>
      <c r="ID238" s="124"/>
      <c r="IE238" s="124"/>
      <c r="IF238" s="124"/>
      <c r="IG238" s="124"/>
      <c r="IH238" s="124"/>
      <c r="II238" s="124"/>
      <c r="IJ238" s="124"/>
    </row>
    <row r="239" spans="1:244" ht="24" customHeight="1">
      <c r="A239" s="195"/>
      <c r="B239" s="197"/>
      <c r="C239" s="195"/>
      <c r="D239" s="196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200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  <c r="BO239" s="124"/>
      <c r="BP239" s="124"/>
      <c r="BQ239" s="124"/>
      <c r="BR239" s="124"/>
      <c r="BS239" s="124"/>
      <c r="BT239" s="124"/>
      <c r="BU239" s="124"/>
      <c r="BV239" s="124"/>
      <c r="BW239" s="124"/>
      <c r="BX239" s="124"/>
      <c r="BY239" s="124"/>
      <c r="BZ239" s="124"/>
      <c r="CA239" s="124"/>
      <c r="CB239" s="124"/>
      <c r="CC239" s="124"/>
      <c r="CD239" s="124"/>
      <c r="CE239" s="124"/>
      <c r="CF239" s="124"/>
      <c r="CG239" s="124"/>
      <c r="CH239" s="124"/>
      <c r="CI239" s="124"/>
      <c r="CJ239" s="124"/>
      <c r="CK239" s="124"/>
      <c r="CL239" s="124"/>
      <c r="CM239" s="124"/>
      <c r="CN239" s="124"/>
      <c r="CO239" s="124"/>
      <c r="CP239" s="124"/>
      <c r="CQ239" s="124"/>
      <c r="CR239" s="124"/>
      <c r="CS239" s="124"/>
      <c r="CT239" s="124"/>
      <c r="CU239" s="124"/>
      <c r="CV239" s="124"/>
      <c r="CW239" s="124"/>
      <c r="CX239" s="124"/>
      <c r="CY239" s="124"/>
      <c r="CZ239" s="124"/>
      <c r="DA239" s="124"/>
      <c r="DB239" s="124"/>
      <c r="DC239" s="124"/>
      <c r="DD239" s="124"/>
      <c r="DE239" s="124"/>
      <c r="DF239" s="124"/>
      <c r="DG239" s="124"/>
      <c r="DH239" s="124"/>
      <c r="DI239" s="124"/>
      <c r="DJ239" s="124"/>
      <c r="DK239" s="124"/>
      <c r="DL239" s="124"/>
      <c r="DM239" s="124"/>
      <c r="DN239" s="124"/>
      <c r="DO239" s="124"/>
      <c r="DP239" s="124"/>
      <c r="DQ239" s="124"/>
      <c r="DR239" s="124"/>
      <c r="DS239" s="124"/>
      <c r="DT239" s="124"/>
      <c r="DU239" s="124"/>
      <c r="DV239" s="124"/>
      <c r="DW239" s="124"/>
      <c r="DX239" s="124"/>
      <c r="DY239" s="124"/>
      <c r="DZ239" s="124"/>
      <c r="EA239" s="124"/>
      <c r="EB239" s="124"/>
      <c r="EC239" s="124"/>
      <c r="ED239" s="124"/>
      <c r="EE239" s="124"/>
      <c r="EF239" s="124"/>
      <c r="EG239" s="124"/>
      <c r="EH239" s="124"/>
      <c r="EI239" s="124"/>
      <c r="EJ239" s="124"/>
      <c r="EK239" s="124"/>
      <c r="EL239" s="124"/>
      <c r="EM239" s="124"/>
      <c r="EN239" s="124"/>
      <c r="EO239" s="124"/>
      <c r="EP239" s="124"/>
      <c r="EQ239" s="124"/>
      <c r="ER239" s="124"/>
      <c r="ES239" s="124"/>
      <c r="ET239" s="124"/>
      <c r="EU239" s="124"/>
      <c r="EV239" s="124"/>
      <c r="EW239" s="124"/>
      <c r="EX239" s="124"/>
      <c r="EY239" s="124"/>
      <c r="EZ239" s="124"/>
      <c r="FA239" s="124"/>
      <c r="FB239" s="124"/>
      <c r="FC239" s="124"/>
      <c r="FD239" s="124"/>
      <c r="FE239" s="124"/>
      <c r="FF239" s="124"/>
      <c r="FG239" s="124"/>
      <c r="FH239" s="124"/>
      <c r="FI239" s="124"/>
      <c r="FJ239" s="124"/>
      <c r="FK239" s="124"/>
      <c r="FL239" s="124"/>
      <c r="FM239" s="124"/>
      <c r="FN239" s="124"/>
      <c r="FO239" s="124"/>
      <c r="FP239" s="124"/>
      <c r="FQ239" s="124"/>
      <c r="FR239" s="124"/>
      <c r="FS239" s="124"/>
      <c r="FT239" s="124"/>
      <c r="FU239" s="124"/>
      <c r="FV239" s="124"/>
      <c r="FW239" s="124"/>
      <c r="FX239" s="124"/>
      <c r="FY239" s="124"/>
      <c r="FZ239" s="124"/>
      <c r="GA239" s="124"/>
      <c r="GB239" s="124"/>
      <c r="GC239" s="124"/>
      <c r="GD239" s="124"/>
      <c r="GE239" s="124"/>
      <c r="GF239" s="124"/>
      <c r="GG239" s="124"/>
      <c r="GH239" s="124"/>
      <c r="GI239" s="124"/>
      <c r="GJ239" s="124"/>
      <c r="GK239" s="124"/>
      <c r="GL239" s="124"/>
      <c r="GM239" s="124"/>
      <c r="GN239" s="124"/>
      <c r="GO239" s="124"/>
      <c r="GP239" s="124"/>
      <c r="GQ239" s="124"/>
      <c r="GR239" s="124"/>
      <c r="GS239" s="124"/>
      <c r="GT239" s="124"/>
      <c r="GU239" s="124"/>
      <c r="GV239" s="124"/>
      <c r="GW239" s="124"/>
      <c r="GX239" s="124"/>
      <c r="GY239" s="124"/>
      <c r="GZ239" s="124"/>
      <c r="HA239" s="124"/>
      <c r="HB239" s="124"/>
      <c r="HC239" s="124"/>
      <c r="HD239" s="124"/>
      <c r="HE239" s="124"/>
      <c r="HF239" s="124"/>
      <c r="HG239" s="124"/>
      <c r="HH239" s="124"/>
      <c r="HI239" s="124"/>
      <c r="HJ239" s="124"/>
      <c r="HK239" s="124"/>
      <c r="HL239" s="124"/>
      <c r="HM239" s="124"/>
      <c r="HN239" s="124"/>
      <c r="HO239" s="124"/>
      <c r="HP239" s="124"/>
      <c r="HQ239" s="124"/>
      <c r="HR239" s="124"/>
      <c r="HS239" s="124"/>
      <c r="HT239" s="124"/>
      <c r="HU239" s="124"/>
      <c r="HV239" s="124"/>
      <c r="HW239" s="124"/>
      <c r="HX239" s="124"/>
      <c r="HY239" s="124"/>
      <c r="HZ239" s="124"/>
      <c r="IA239" s="124"/>
      <c r="IB239" s="124"/>
      <c r="IC239" s="124"/>
      <c r="ID239" s="124"/>
      <c r="IE239" s="124"/>
      <c r="IF239" s="124"/>
      <c r="IG239" s="124"/>
      <c r="IH239" s="124"/>
      <c r="II239" s="124"/>
      <c r="IJ239" s="124"/>
    </row>
    <row r="240" spans="1:244" ht="24" customHeight="1">
      <c r="A240" s="195"/>
      <c r="B240" s="197"/>
      <c r="C240" s="195"/>
      <c r="D240" s="196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200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  <c r="BO240" s="124"/>
      <c r="BP240" s="124"/>
      <c r="BQ240" s="124"/>
      <c r="BR240" s="124"/>
      <c r="BS240" s="124"/>
      <c r="BT240" s="124"/>
      <c r="BU240" s="124"/>
      <c r="BV240" s="124"/>
      <c r="BW240" s="124"/>
      <c r="BX240" s="124"/>
      <c r="BY240" s="124"/>
      <c r="BZ240" s="124"/>
      <c r="CA240" s="124"/>
      <c r="CB240" s="124"/>
      <c r="CC240" s="124"/>
      <c r="CD240" s="124"/>
      <c r="CE240" s="124"/>
      <c r="CF240" s="124"/>
      <c r="CG240" s="124"/>
      <c r="CH240" s="124"/>
      <c r="CI240" s="124"/>
      <c r="CJ240" s="124"/>
      <c r="CK240" s="124"/>
      <c r="CL240" s="124"/>
      <c r="CM240" s="124"/>
      <c r="CN240" s="124"/>
      <c r="CO240" s="124"/>
      <c r="CP240" s="124"/>
      <c r="CQ240" s="124"/>
      <c r="CR240" s="124"/>
      <c r="CS240" s="124"/>
      <c r="CT240" s="124"/>
      <c r="CU240" s="124"/>
      <c r="CV240" s="124"/>
      <c r="CW240" s="124"/>
      <c r="CX240" s="124"/>
      <c r="CY240" s="124"/>
      <c r="CZ240" s="124"/>
      <c r="DA240" s="124"/>
      <c r="DB240" s="124"/>
      <c r="DC240" s="124"/>
      <c r="DD240" s="124"/>
      <c r="DE240" s="124"/>
      <c r="DF240" s="124"/>
      <c r="DG240" s="124"/>
      <c r="DH240" s="124"/>
      <c r="DI240" s="124"/>
      <c r="DJ240" s="124"/>
      <c r="DK240" s="124"/>
      <c r="DL240" s="124"/>
      <c r="DM240" s="124"/>
      <c r="DN240" s="124"/>
      <c r="DO240" s="124"/>
      <c r="DP240" s="124"/>
      <c r="DQ240" s="124"/>
      <c r="DR240" s="124"/>
      <c r="DS240" s="124"/>
      <c r="DT240" s="124"/>
      <c r="DU240" s="124"/>
      <c r="DV240" s="124"/>
      <c r="DW240" s="124"/>
      <c r="DX240" s="124"/>
      <c r="DY240" s="124"/>
      <c r="DZ240" s="124"/>
      <c r="EA240" s="124"/>
      <c r="EB240" s="124"/>
      <c r="EC240" s="124"/>
      <c r="ED240" s="124"/>
      <c r="EE240" s="124"/>
      <c r="EF240" s="124"/>
      <c r="EG240" s="124"/>
      <c r="EH240" s="124"/>
      <c r="EI240" s="124"/>
      <c r="EJ240" s="124"/>
      <c r="EK240" s="124"/>
      <c r="EL240" s="124"/>
      <c r="EM240" s="124"/>
      <c r="EN240" s="124"/>
      <c r="EO240" s="124"/>
      <c r="EP240" s="124"/>
      <c r="EQ240" s="124"/>
      <c r="ER240" s="124"/>
      <c r="ES240" s="124"/>
      <c r="ET240" s="124"/>
      <c r="EU240" s="124"/>
      <c r="EV240" s="124"/>
      <c r="EW240" s="124"/>
      <c r="EX240" s="124"/>
      <c r="EY240" s="124"/>
      <c r="EZ240" s="124"/>
      <c r="FA240" s="124"/>
      <c r="FB240" s="124"/>
      <c r="FC240" s="124"/>
      <c r="FD240" s="124"/>
      <c r="FE240" s="124"/>
      <c r="FF240" s="124"/>
      <c r="FG240" s="124"/>
      <c r="FH240" s="124"/>
      <c r="FI240" s="124"/>
      <c r="FJ240" s="124"/>
      <c r="FK240" s="124"/>
      <c r="FL240" s="124"/>
      <c r="FM240" s="124"/>
      <c r="FN240" s="124"/>
      <c r="FO240" s="124"/>
      <c r="FP240" s="124"/>
      <c r="FQ240" s="124"/>
      <c r="FR240" s="124"/>
      <c r="FS240" s="124"/>
      <c r="FT240" s="124"/>
      <c r="FU240" s="124"/>
      <c r="FV240" s="124"/>
      <c r="FW240" s="124"/>
      <c r="FX240" s="124"/>
      <c r="FY240" s="124"/>
      <c r="FZ240" s="124"/>
      <c r="GA240" s="124"/>
      <c r="GB240" s="124"/>
      <c r="GC240" s="124"/>
      <c r="GD240" s="124"/>
      <c r="GE240" s="124"/>
      <c r="GF240" s="124"/>
      <c r="GG240" s="124"/>
      <c r="GH240" s="124"/>
      <c r="GI240" s="124"/>
      <c r="GJ240" s="124"/>
      <c r="GK240" s="124"/>
      <c r="GL240" s="124"/>
      <c r="GM240" s="124"/>
      <c r="GN240" s="124"/>
      <c r="GO240" s="124"/>
      <c r="GP240" s="124"/>
      <c r="GQ240" s="124"/>
      <c r="GR240" s="124"/>
      <c r="GS240" s="124"/>
      <c r="GT240" s="124"/>
      <c r="GU240" s="124"/>
      <c r="GV240" s="124"/>
      <c r="GW240" s="124"/>
      <c r="GX240" s="124"/>
      <c r="GY240" s="124"/>
      <c r="GZ240" s="124"/>
      <c r="HA240" s="124"/>
      <c r="HB240" s="124"/>
      <c r="HC240" s="124"/>
      <c r="HD240" s="124"/>
      <c r="HE240" s="124"/>
      <c r="HF240" s="124"/>
      <c r="HG240" s="124"/>
      <c r="HH240" s="124"/>
      <c r="HI240" s="124"/>
      <c r="HJ240" s="124"/>
      <c r="HK240" s="124"/>
      <c r="HL240" s="124"/>
      <c r="HM240" s="124"/>
      <c r="HN240" s="124"/>
      <c r="HO240" s="124"/>
      <c r="HP240" s="124"/>
      <c r="HQ240" s="124"/>
      <c r="HR240" s="124"/>
      <c r="HS240" s="124"/>
      <c r="HT240" s="124"/>
      <c r="HU240" s="124"/>
      <c r="HV240" s="124"/>
      <c r="HW240" s="124"/>
      <c r="HX240" s="124"/>
      <c r="HY240" s="124"/>
      <c r="HZ240" s="124"/>
      <c r="IA240" s="124"/>
      <c r="IB240" s="124"/>
      <c r="IC240" s="124"/>
      <c r="ID240" s="124"/>
      <c r="IE240" s="124"/>
      <c r="IF240" s="124"/>
      <c r="IG240" s="124"/>
      <c r="IH240" s="124"/>
      <c r="II240" s="124"/>
      <c r="IJ240" s="124"/>
    </row>
    <row r="241" spans="1:244" ht="24" customHeight="1">
      <c r="A241" s="195"/>
      <c r="B241" s="197"/>
      <c r="C241" s="195"/>
      <c r="D241" s="196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200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  <c r="BO241" s="124"/>
      <c r="BP241" s="124"/>
      <c r="BQ241" s="124"/>
      <c r="BR241" s="124"/>
      <c r="BS241" s="124"/>
      <c r="BT241" s="124"/>
      <c r="BU241" s="124"/>
      <c r="BV241" s="124"/>
      <c r="BW241" s="124"/>
      <c r="BX241" s="124"/>
      <c r="BY241" s="124"/>
      <c r="BZ241" s="124"/>
      <c r="CA241" s="124"/>
      <c r="CB241" s="124"/>
      <c r="CC241" s="124"/>
      <c r="CD241" s="124"/>
      <c r="CE241" s="124"/>
      <c r="CF241" s="124"/>
      <c r="CG241" s="124"/>
      <c r="CH241" s="124"/>
      <c r="CI241" s="124"/>
      <c r="CJ241" s="124"/>
      <c r="CK241" s="124"/>
      <c r="CL241" s="124"/>
      <c r="CM241" s="124"/>
      <c r="CN241" s="124"/>
      <c r="CO241" s="124"/>
      <c r="CP241" s="124"/>
      <c r="CQ241" s="124"/>
      <c r="CR241" s="124"/>
      <c r="CS241" s="124"/>
      <c r="CT241" s="124"/>
      <c r="CU241" s="124"/>
      <c r="CV241" s="124"/>
      <c r="CW241" s="124"/>
      <c r="CX241" s="124"/>
      <c r="CY241" s="124"/>
      <c r="CZ241" s="124"/>
      <c r="DA241" s="124"/>
      <c r="DB241" s="124"/>
      <c r="DC241" s="124"/>
      <c r="DD241" s="124"/>
      <c r="DE241" s="124"/>
      <c r="DF241" s="124"/>
      <c r="DG241" s="124"/>
      <c r="DH241" s="124"/>
      <c r="DI241" s="124"/>
      <c r="DJ241" s="124"/>
      <c r="DK241" s="124"/>
      <c r="DL241" s="124"/>
      <c r="DM241" s="124"/>
      <c r="DN241" s="124"/>
      <c r="DO241" s="124"/>
      <c r="DP241" s="124"/>
      <c r="DQ241" s="124"/>
      <c r="DR241" s="124"/>
      <c r="DS241" s="124"/>
      <c r="DT241" s="124"/>
      <c r="DU241" s="124"/>
      <c r="DV241" s="124"/>
      <c r="DW241" s="124"/>
      <c r="DX241" s="124"/>
      <c r="DY241" s="124"/>
      <c r="DZ241" s="124"/>
      <c r="EA241" s="124"/>
      <c r="EB241" s="124"/>
      <c r="EC241" s="124"/>
      <c r="ED241" s="124"/>
      <c r="EE241" s="124"/>
      <c r="EF241" s="124"/>
      <c r="EG241" s="124"/>
      <c r="EH241" s="124"/>
      <c r="EI241" s="124"/>
      <c r="EJ241" s="124"/>
      <c r="EK241" s="124"/>
      <c r="EL241" s="124"/>
      <c r="EM241" s="124"/>
      <c r="EN241" s="124"/>
      <c r="EO241" s="124"/>
      <c r="EP241" s="124"/>
      <c r="EQ241" s="124"/>
      <c r="ER241" s="124"/>
      <c r="ES241" s="124"/>
      <c r="ET241" s="124"/>
      <c r="EU241" s="124"/>
      <c r="EV241" s="124"/>
      <c r="EW241" s="124"/>
      <c r="EX241" s="124"/>
      <c r="EY241" s="124"/>
      <c r="EZ241" s="124"/>
      <c r="FA241" s="124"/>
      <c r="FB241" s="124"/>
      <c r="FC241" s="124"/>
      <c r="FD241" s="124"/>
      <c r="FE241" s="124"/>
      <c r="FF241" s="124"/>
      <c r="FG241" s="124"/>
      <c r="FH241" s="124"/>
      <c r="FI241" s="124"/>
      <c r="FJ241" s="124"/>
      <c r="FK241" s="124"/>
      <c r="FL241" s="124"/>
      <c r="FM241" s="124"/>
      <c r="FN241" s="124"/>
      <c r="FO241" s="124"/>
      <c r="FP241" s="124"/>
      <c r="FQ241" s="124"/>
      <c r="FR241" s="124"/>
      <c r="FS241" s="124"/>
      <c r="FT241" s="124"/>
      <c r="FU241" s="124"/>
      <c r="FV241" s="124"/>
      <c r="FW241" s="124"/>
      <c r="FX241" s="124"/>
      <c r="FY241" s="124"/>
      <c r="FZ241" s="124"/>
      <c r="GA241" s="124"/>
      <c r="GB241" s="124"/>
      <c r="GC241" s="124"/>
      <c r="GD241" s="124"/>
      <c r="GE241" s="124"/>
      <c r="GF241" s="124"/>
      <c r="GG241" s="124"/>
      <c r="GH241" s="124"/>
      <c r="GI241" s="124"/>
      <c r="GJ241" s="124"/>
      <c r="GK241" s="124"/>
      <c r="GL241" s="124"/>
      <c r="GM241" s="124"/>
      <c r="GN241" s="124"/>
      <c r="GO241" s="124"/>
      <c r="GP241" s="124"/>
      <c r="GQ241" s="124"/>
      <c r="GR241" s="124"/>
      <c r="GS241" s="124"/>
      <c r="GT241" s="124"/>
      <c r="GU241" s="124"/>
      <c r="GV241" s="124"/>
      <c r="GW241" s="124"/>
      <c r="GX241" s="124"/>
      <c r="GY241" s="124"/>
      <c r="GZ241" s="124"/>
      <c r="HA241" s="124"/>
      <c r="HB241" s="124"/>
      <c r="HC241" s="124"/>
      <c r="HD241" s="124"/>
      <c r="HE241" s="124"/>
      <c r="HF241" s="124"/>
      <c r="HG241" s="124"/>
      <c r="HH241" s="124"/>
      <c r="HI241" s="124"/>
      <c r="HJ241" s="124"/>
      <c r="HK241" s="124"/>
      <c r="HL241" s="124"/>
      <c r="HM241" s="124"/>
      <c r="HN241" s="124"/>
      <c r="HO241" s="124"/>
      <c r="HP241" s="124"/>
      <c r="HQ241" s="124"/>
      <c r="HR241" s="124"/>
      <c r="HS241" s="124"/>
      <c r="HT241" s="124"/>
      <c r="HU241" s="124"/>
      <c r="HV241" s="124"/>
      <c r="HW241" s="124"/>
      <c r="HX241" s="124"/>
      <c r="HY241" s="124"/>
      <c r="HZ241" s="124"/>
      <c r="IA241" s="124"/>
      <c r="IB241" s="124"/>
      <c r="IC241" s="124"/>
      <c r="ID241" s="124"/>
      <c r="IE241" s="124"/>
      <c r="IF241" s="124"/>
      <c r="IG241" s="124"/>
      <c r="IH241" s="124"/>
      <c r="II241" s="124"/>
      <c r="IJ241" s="124"/>
    </row>
    <row r="242" spans="1:244" ht="24" customHeight="1">
      <c r="A242" s="195"/>
      <c r="B242" s="197"/>
      <c r="C242" s="195"/>
      <c r="D242" s="196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200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  <c r="BO242" s="124"/>
      <c r="BP242" s="124"/>
      <c r="BQ242" s="124"/>
      <c r="BR242" s="124"/>
      <c r="BS242" s="124"/>
      <c r="BT242" s="124"/>
      <c r="BU242" s="124"/>
      <c r="BV242" s="124"/>
      <c r="BW242" s="124"/>
      <c r="BX242" s="124"/>
      <c r="BY242" s="124"/>
      <c r="BZ242" s="124"/>
      <c r="CA242" s="124"/>
      <c r="CB242" s="124"/>
      <c r="CC242" s="124"/>
      <c r="CD242" s="124"/>
      <c r="CE242" s="124"/>
      <c r="CF242" s="124"/>
      <c r="CG242" s="124"/>
      <c r="CH242" s="124"/>
      <c r="CI242" s="124"/>
      <c r="CJ242" s="124"/>
      <c r="CK242" s="124"/>
      <c r="CL242" s="124"/>
      <c r="CM242" s="124"/>
      <c r="CN242" s="124"/>
      <c r="CO242" s="124"/>
      <c r="CP242" s="124"/>
      <c r="CQ242" s="124"/>
      <c r="CR242" s="124"/>
      <c r="CS242" s="124"/>
      <c r="CT242" s="124"/>
      <c r="CU242" s="124"/>
      <c r="CV242" s="124"/>
      <c r="CW242" s="124"/>
      <c r="CX242" s="124"/>
      <c r="CY242" s="124"/>
      <c r="CZ242" s="124"/>
      <c r="DA242" s="124"/>
      <c r="DB242" s="124"/>
      <c r="DC242" s="124"/>
      <c r="DD242" s="124"/>
      <c r="DE242" s="124"/>
      <c r="DF242" s="124"/>
      <c r="DG242" s="124"/>
      <c r="DH242" s="124"/>
      <c r="DI242" s="124"/>
      <c r="DJ242" s="124"/>
      <c r="DK242" s="124"/>
      <c r="DL242" s="124"/>
      <c r="DM242" s="124"/>
      <c r="DN242" s="124"/>
      <c r="DO242" s="124"/>
      <c r="DP242" s="124"/>
      <c r="DQ242" s="124"/>
      <c r="DR242" s="124"/>
      <c r="DS242" s="124"/>
      <c r="DT242" s="124"/>
      <c r="DU242" s="124"/>
      <c r="DV242" s="124"/>
      <c r="DW242" s="124"/>
      <c r="DX242" s="124"/>
      <c r="DY242" s="124"/>
      <c r="DZ242" s="124"/>
      <c r="EA242" s="124"/>
      <c r="EB242" s="124"/>
      <c r="EC242" s="124"/>
      <c r="ED242" s="124"/>
      <c r="EE242" s="124"/>
      <c r="EF242" s="124"/>
      <c r="EG242" s="124"/>
      <c r="EH242" s="124"/>
      <c r="EI242" s="124"/>
      <c r="EJ242" s="124"/>
      <c r="EK242" s="124"/>
      <c r="EL242" s="124"/>
      <c r="EM242" s="124"/>
      <c r="EN242" s="124"/>
      <c r="EO242" s="124"/>
      <c r="EP242" s="124"/>
      <c r="EQ242" s="124"/>
      <c r="ER242" s="124"/>
      <c r="ES242" s="124"/>
      <c r="ET242" s="124"/>
      <c r="EU242" s="124"/>
      <c r="EV242" s="124"/>
      <c r="EW242" s="124"/>
      <c r="EX242" s="124"/>
      <c r="EY242" s="124"/>
      <c r="EZ242" s="124"/>
      <c r="FA242" s="124"/>
      <c r="FB242" s="124"/>
      <c r="FC242" s="124"/>
      <c r="FD242" s="124"/>
      <c r="FE242" s="124"/>
      <c r="FF242" s="124"/>
      <c r="FG242" s="124"/>
      <c r="FH242" s="124"/>
      <c r="FI242" s="124"/>
      <c r="FJ242" s="124"/>
      <c r="FK242" s="124"/>
      <c r="FL242" s="124"/>
      <c r="FM242" s="124"/>
      <c r="FN242" s="124"/>
      <c r="FO242" s="124"/>
      <c r="FP242" s="124"/>
      <c r="FQ242" s="124"/>
      <c r="FR242" s="124"/>
      <c r="FS242" s="124"/>
      <c r="FT242" s="124"/>
      <c r="FU242" s="124"/>
      <c r="FV242" s="124"/>
      <c r="FW242" s="124"/>
      <c r="FX242" s="124"/>
      <c r="FY242" s="124"/>
      <c r="FZ242" s="124"/>
      <c r="GA242" s="124"/>
      <c r="GB242" s="124"/>
      <c r="GC242" s="124"/>
      <c r="GD242" s="124"/>
      <c r="GE242" s="124"/>
      <c r="GF242" s="124"/>
      <c r="GG242" s="124"/>
      <c r="GH242" s="124"/>
      <c r="GI242" s="124"/>
      <c r="GJ242" s="124"/>
      <c r="GK242" s="124"/>
      <c r="GL242" s="124"/>
      <c r="GM242" s="124"/>
      <c r="GN242" s="124"/>
      <c r="GO242" s="124"/>
      <c r="GP242" s="124"/>
      <c r="GQ242" s="124"/>
      <c r="GR242" s="124"/>
      <c r="GS242" s="124"/>
      <c r="GT242" s="124"/>
      <c r="GU242" s="124"/>
      <c r="GV242" s="124"/>
      <c r="GW242" s="124"/>
      <c r="GX242" s="124"/>
      <c r="GY242" s="124"/>
      <c r="GZ242" s="124"/>
      <c r="HA242" s="124"/>
      <c r="HB242" s="124"/>
      <c r="HC242" s="124"/>
      <c r="HD242" s="124"/>
      <c r="HE242" s="124"/>
      <c r="HF242" s="124"/>
      <c r="HG242" s="124"/>
      <c r="HH242" s="124"/>
      <c r="HI242" s="124"/>
      <c r="HJ242" s="124"/>
      <c r="HK242" s="124"/>
      <c r="HL242" s="124"/>
      <c r="HM242" s="124"/>
      <c r="HN242" s="124"/>
      <c r="HO242" s="124"/>
      <c r="HP242" s="124"/>
      <c r="HQ242" s="124"/>
      <c r="HR242" s="124"/>
      <c r="HS242" s="124"/>
      <c r="HT242" s="124"/>
      <c r="HU242" s="124"/>
      <c r="HV242" s="124"/>
      <c r="HW242" s="124"/>
      <c r="HX242" s="124"/>
      <c r="HY242" s="124"/>
      <c r="HZ242" s="124"/>
      <c r="IA242" s="124"/>
      <c r="IB242" s="124"/>
      <c r="IC242" s="124"/>
      <c r="ID242" s="124"/>
      <c r="IE242" s="124"/>
      <c r="IF242" s="124"/>
      <c r="IG242" s="124"/>
      <c r="IH242" s="124"/>
      <c r="II242" s="124"/>
      <c r="IJ242" s="124"/>
    </row>
    <row r="243" spans="1:244" ht="24" customHeight="1">
      <c r="A243" s="195"/>
      <c r="B243" s="197"/>
      <c r="C243" s="195"/>
      <c r="D243" s="196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200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  <c r="BO243" s="124"/>
      <c r="BP243" s="124"/>
      <c r="BQ243" s="124"/>
      <c r="BR243" s="124"/>
      <c r="BS243" s="124"/>
      <c r="BT243" s="124"/>
      <c r="BU243" s="124"/>
      <c r="BV243" s="124"/>
      <c r="BW243" s="124"/>
      <c r="BX243" s="124"/>
      <c r="BY243" s="124"/>
      <c r="BZ243" s="124"/>
      <c r="CA243" s="124"/>
      <c r="CB243" s="124"/>
      <c r="CC243" s="124"/>
      <c r="CD243" s="124"/>
      <c r="CE243" s="124"/>
      <c r="CF243" s="124"/>
      <c r="CG243" s="124"/>
      <c r="CH243" s="124"/>
      <c r="CI243" s="124"/>
      <c r="CJ243" s="124"/>
      <c r="CK243" s="124"/>
      <c r="CL243" s="124"/>
      <c r="CM243" s="124"/>
      <c r="CN243" s="124"/>
      <c r="CO243" s="124"/>
      <c r="CP243" s="124"/>
      <c r="CQ243" s="124"/>
      <c r="CR243" s="124"/>
      <c r="CS243" s="124"/>
      <c r="CT243" s="124"/>
      <c r="CU243" s="124"/>
      <c r="CV243" s="124"/>
      <c r="CW243" s="124"/>
      <c r="CX243" s="124"/>
      <c r="CY243" s="124"/>
      <c r="CZ243" s="124"/>
      <c r="DA243" s="124"/>
      <c r="DB243" s="124"/>
      <c r="DC243" s="124"/>
      <c r="DD243" s="124"/>
      <c r="DE243" s="124"/>
      <c r="DF243" s="124"/>
      <c r="DG243" s="124"/>
      <c r="DH243" s="124"/>
      <c r="DI243" s="124"/>
      <c r="DJ243" s="124"/>
      <c r="DK243" s="124"/>
      <c r="DL243" s="124"/>
      <c r="DM243" s="124"/>
      <c r="DN243" s="124"/>
      <c r="DO243" s="124"/>
      <c r="DP243" s="124"/>
      <c r="DQ243" s="124"/>
      <c r="DR243" s="124"/>
      <c r="DS243" s="124"/>
      <c r="DT243" s="124"/>
      <c r="DU243" s="124"/>
      <c r="DV243" s="124"/>
      <c r="DW243" s="124"/>
      <c r="DX243" s="124"/>
      <c r="DY243" s="124"/>
      <c r="DZ243" s="124"/>
      <c r="EA243" s="124"/>
      <c r="EB243" s="124"/>
      <c r="EC243" s="124"/>
      <c r="ED243" s="124"/>
      <c r="EE243" s="124"/>
      <c r="EF243" s="124"/>
      <c r="EG243" s="124"/>
      <c r="EH243" s="124"/>
      <c r="EI243" s="124"/>
      <c r="EJ243" s="124"/>
      <c r="EK243" s="124"/>
      <c r="EL243" s="124"/>
      <c r="EM243" s="124"/>
      <c r="EN243" s="124"/>
      <c r="EO243" s="124"/>
      <c r="EP243" s="124"/>
      <c r="EQ243" s="124"/>
      <c r="ER243" s="124"/>
      <c r="ES243" s="124"/>
      <c r="ET243" s="124"/>
      <c r="EU243" s="124"/>
      <c r="EV243" s="124"/>
      <c r="EW243" s="124"/>
      <c r="EX243" s="124"/>
      <c r="EY243" s="124"/>
      <c r="EZ243" s="124"/>
      <c r="FA243" s="124"/>
      <c r="FB243" s="124"/>
      <c r="FC243" s="124"/>
      <c r="FD243" s="124"/>
      <c r="FE243" s="124"/>
      <c r="FF243" s="124"/>
      <c r="FG243" s="124"/>
      <c r="FH243" s="124"/>
      <c r="FI243" s="124"/>
      <c r="FJ243" s="124"/>
      <c r="FK243" s="124"/>
      <c r="FL243" s="124"/>
      <c r="FM243" s="124"/>
      <c r="FN243" s="124"/>
      <c r="FO243" s="124"/>
      <c r="FP243" s="124"/>
      <c r="FQ243" s="124"/>
      <c r="FR243" s="124"/>
      <c r="FS243" s="124"/>
      <c r="FT243" s="124"/>
      <c r="FU243" s="124"/>
      <c r="FV243" s="124"/>
      <c r="FW243" s="124"/>
      <c r="FX243" s="124"/>
      <c r="FY243" s="124"/>
      <c r="FZ243" s="124"/>
      <c r="GA243" s="124"/>
      <c r="GB243" s="124"/>
      <c r="GC243" s="124"/>
      <c r="GD243" s="124"/>
      <c r="GE243" s="124"/>
      <c r="GF243" s="124"/>
      <c r="GG243" s="124"/>
      <c r="GH243" s="124"/>
      <c r="GI243" s="124"/>
      <c r="GJ243" s="124"/>
      <c r="GK243" s="124"/>
      <c r="GL243" s="124"/>
      <c r="GM243" s="124"/>
      <c r="GN243" s="124"/>
      <c r="GO243" s="124"/>
      <c r="GP243" s="124"/>
      <c r="GQ243" s="124"/>
      <c r="GR243" s="124"/>
      <c r="GS243" s="124"/>
      <c r="GT243" s="124"/>
      <c r="GU243" s="124"/>
      <c r="GV243" s="124"/>
      <c r="GW243" s="124"/>
      <c r="GX243" s="124"/>
      <c r="GY243" s="124"/>
      <c r="GZ243" s="124"/>
      <c r="HA243" s="124"/>
      <c r="HB243" s="124"/>
      <c r="HC243" s="124"/>
      <c r="HD243" s="124"/>
      <c r="HE243" s="124"/>
      <c r="HF243" s="124"/>
      <c r="HG243" s="124"/>
      <c r="HH243" s="124"/>
      <c r="HI243" s="124"/>
      <c r="HJ243" s="124"/>
      <c r="HK243" s="124"/>
      <c r="HL243" s="124"/>
      <c r="HM243" s="124"/>
      <c r="HN243" s="124"/>
      <c r="HO243" s="124"/>
      <c r="HP243" s="124"/>
      <c r="HQ243" s="124"/>
      <c r="HR243" s="124"/>
      <c r="HS243" s="124"/>
      <c r="HT243" s="124"/>
      <c r="HU243" s="124"/>
      <c r="HV243" s="124"/>
      <c r="HW243" s="124"/>
      <c r="HX243" s="124"/>
      <c r="HY243" s="124"/>
      <c r="HZ243" s="124"/>
      <c r="IA243" s="124"/>
      <c r="IB243" s="124"/>
      <c r="IC243" s="124"/>
      <c r="ID243" s="124"/>
      <c r="IE243" s="124"/>
      <c r="IF243" s="124"/>
      <c r="IG243" s="124"/>
      <c r="IH243" s="124"/>
      <c r="II243" s="124"/>
      <c r="IJ243" s="124"/>
    </row>
    <row r="244" spans="1:244" ht="24" customHeight="1">
      <c r="A244" s="195"/>
      <c r="B244" s="197"/>
      <c r="C244" s="195"/>
      <c r="D244" s="196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200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  <c r="BO244" s="124"/>
      <c r="BP244" s="124"/>
      <c r="BQ244" s="124"/>
      <c r="BR244" s="124"/>
      <c r="BS244" s="124"/>
      <c r="BT244" s="124"/>
      <c r="BU244" s="124"/>
      <c r="BV244" s="124"/>
      <c r="BW244" s="124"/>
      <c r="BX244" s="124"/>
      <c r="BY244" s="124"/>
      <c r="BZ244" s="124"/>
      <c r="CA244" s="124"/>
      <c r="CB244" s="124"/>
      <c r="CC244" s="124"/>
      <c r="CD244" s="124"/>
      <c r="CE244" s="124"/>
      <c r="CF244" s="124"/>
      <c r="CG244" s="124"/>
      <c r="CH244" s="124"/>
      <c r="CI244" s="124"/>
      <c r="CJ244" s="124"/>
      <c r="CK244" s="124"/>
      <c r="CL244" s="124"/>
      <c r="CM244" s="124"/>
      <c r="CN244" s="124"/>
      <c r="CO244" s="124"/>
      <c r="CP244" s="124"/>
      <c r="CQ244" s="124"/>
      <c r="CR244" s="124"/>
      <c r="CS244" s="124"/>
      <c r="CT244" s="124"/>
      <c r="CU244" s="124"/>
      <c r="CV244" s="124"/>
      <c r="CW244" s="124"/>
      <c r="CX244" s="124"/>
      <c r="CY244" s="124"/>
      <c r="CZ244" s="124"/>
      <c r="DA244" s="124"/>
      <c r="DB244" s="124"/>
      <c r="DC244" s="124"/>
      <c r="DD244" s="124"/>
      <c r="DE244" s="124"/>
      <c r="DF244" s="124"/>
      <c r="DG244" s="124"/>
      <c r="DH244" s="124"/>
      <c r="DI244" s="124"/>
      <c r="DJ244" s="124"/>
      <c r="DK244" s="124"/>
      <c r="DL244" s="124"/>
      <c r="DM244" s="124"/>
      <c r="DN244" s="124"/>
      <c r="DO244" s="124"/>
      <c r="DP244" s="124"/>
      <c r="DQ244" s="124"/>
      <c r="DR244" s="124"/>
      <c r="DS244" s="124"/>
      <c r="DT244" s="124"/>
      <c r="DU244" s="124"/>
      <c r="DV244" s="124"/>
      <c r="DW244" s="124"/>
      <c r="DX244" s="124"/>
      <c r="DY244" s="124"/>
      <c r="DZ244" s="124"/>
      <c r="EA244" s="124"/>
      <c r="EB244" s="124"/>
      <c r="EC244" s="124"/>
      <c r="ED244" s="124"/>
      <c r="EE244" s="124"/>
      <c r="EF244" s="124"/>
      <c r="EG244" s="124"/>
      <c r="EH244" s="124"/>
      <c r="EI244" s="124"/>
      <c r="EJ244" s="124"/>
      <c r="EK244" s="124"/>
      <c r="EL244" s="124"/>
      <c r="EM244" s="124"/>
      <c r="EN244" s="124"/>
      <c r="EO244" s="124"/>
      <c r="EP244" s="124"/>
      <c r="EQ244" s="124"/>
      <c r="ER244" s="124"/>
      <c r="ES244" s="124"/>
      <c r="ET244" s="124"/>
      <c r="EU244" s="124"/>
      <c r="EV244" s="124"/>
      <c r="EW244" s="124"/>
      <c r="EX244" s="124"/>
      <c r="EY244" s="124"/>
      <c r="EZ244" s="124"/>
      <c r="FA244" s="124"/>
      <c r="FB244" s="124"/>
      <c r="FC244" s="124"/>
      <c r="FD244" s="124"/>
      <c r="FE244" s="124"/>
      <c r="FF244" s="124"/>
      <c r="FG244" s="124"/>
      <c r="FH244" s="124"/>
      <c r="FI244" s="124"/>
      <c r="FJ244" s="124"/>
      <c r="FK244" s="124"/>
      <c r="FL244" s="124"/>
      <c r="FM244" s="124"/>
      <c r="FN244" s="124"/>
      <c r="FO244" s="124"/>
      <c r="FP244" s="124"/>
      <c r="FQ244" s="124"/>
      <c r="FR244" s="124"/>
      <c r="FS244" s="124"/>
      <c r="FT244" s="124"/>
      <c r="FU244" s="124"/>
      <c r="FV244" s="124"/>
      <c r="FW244" s="124"/>
      <c r="FX244" s="124"/>
      <c r="FY244" s="124"/>
      <c r="FZ244" s="124"/>
      <c r="GA244" s="124"/>
      <c r="GB244" s="124"/>
      <c r="GC244" s="124"/>
      <c r="GD244" s="124"/>
      <c r="GE244" s="124"/>
      <c r="GF244" s="124"/>
      <c r="GG244" s="124"/>
      <c r="GH244" s="124"/>
      <c r="GI244" s="124"/>
      <c r="GJ244" s="124"/>
      <c r="GK244" s="124"/>
      <c r="GL244" s="124"/>
      <c r="GM244" s="124"/>
      <c r="GN244" s="124"/>
      <c r="GO244" s="124"/>
      <c r="GP244" s="124"/>
      <c r="GQ244" s="124"/>
      <c r="GR244" s="124"/>
      <c r="GS244" s="124"/>
      <c r="GT244" s="124"/>
      <c r="GU244" s="124"/>
      <c r="GV244" s="124"/>
      <c r="GW244" s="124"/>
      <c r="GX244" s="124"/>
      <c r="GY244" s="124"/>
      <c r="GZ244" s="124"/>
      <c r="HA244" s="124"/>
      <c r="HB244" s="124"/>
      <c r="HC244" s="124"/>
      <c r="HD244" s="124"/>
      <c r="HE244" s="124"/>
      <c r="HF244" s="124"/>
      <c r="HG244" s="124"/>
      <c r="HH244" s="124"/>
      <c r="HI244" s="124"/>
      <c r="HJ244" s="124"/>
      <c r="HK244" s="124"/>
      <c r="HL244" s="124"/>
      <c r="HM244" s="124"/>
      <c r="HN244" s="124"/>
      <c r="HO244" s="124"/>
      <c r="HP244" s="124"/>
      <c r="HQ244" s="124"/>
      <c r="HR244" s="124"/>
      <c r="HS244" s="124"/>
      <c r="HT244" s="124"/>
      <c r="HU244" s="124"/>
      <c r="HV244" s="124"/>
      <c r="HW244" s="124"/>
      <c r="HX244" s="124"/>
      <c r="HY244" s="124"/>
      <c r="HZ244" s="124"/>
      <c r="IA244" s="124"/>
      <c r="IB244" s="124"/>
      <c r="IC244" s="124"/>
      <c r="ID244" s="124"/>
      <c r="IE244" s="124"/>
      <c r="IF244" s="124"/>
      <c r="IG244" s="124"/>
      <c r="IH244" s="124"/>
      <c r="II244" s="124"/>
      <c r="IJ244" s="124"/>
    </row>
    <row r="245" spans="1:244" ht="24" customHeight="1">
      <c r="A245" s="195"/>
      <c r="B245" s="197"/>
      <c r="C245" s="195"/>
      <c r="D245" s="196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200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  <c r="BO245" s="124"/>
      <c r="BP245" s="124"/>
      <c r="BQ245" s="124"/>
      <c r="BR245" s="124"/>
      <c r="BS245" s="124"/>
      <c r="BT245" s="124"/>
      <c r="BU245" s="124"/>
      <c r="BV245" s="124"/>
      <c r="BW245" s="124"/>
      <c r="BX245" s="124"/>
      <c r="BY245" s="124"/>
      <c r="BZ245" s="124"/>
      <c r="CA245" s="124"/>
      <c r="CB245" s="124"/>
      <c r="CC245" s="124"/>
      <c r="CD245" s="124"/>
      <c r="CE245" s="124"/>
      <c r="CF245" s="124"/>
      <c r="CG245" s="124"/>
      <c r="CH245" s="124"/>
      <c r="CI245" s="124"/>
      <c r="CJ245" s="124"/>
      <c r="CK245" s="124"/>
      <c r="CL245" s="124"/>
      <c r="CM245" s="124"/>
      <c r="CN245" s="124"/>
      <c r="CO245" s="124"/>
      <c r="CP245" s="124"/>
      <c r="CQ245" s="124"/>
      <c r="CR245" s="124"/>
      <c r="CS245" s="124"/>
      <c r="CT245" s="124"/>
      <c r="CU245" s="124"/>
      <c r="CV245" s="124"/>
      <c r="CW245" s="124"/>
      <c r="CX245" s="124"/>
      <c r="CY245" s="124"/>
      <c r="CZ245" s="124"/>
      <c r="DA245" s="124"/>
      <c r="DB245" s="124"/>
      <c r="DC245" s="124"/>
      <c r="DD245" s="124"/>
      <c r="DE245" s="124"/>
      <c r="DF245" s="124"/>
      <c r="DG245" s="124"/>
      <c r="DH245" s="124"/>
      <c r="DI245" s="124"/>
      <c r="DJ245" s="124"/>
      <c r="DK245" s="124"/>
      <c r="DL245" s="124"/>
      <c r="DM245" s="124"/>
      <c r="DN245" s="124"/>
      <c r="DO245" s="124"/>
      <c r="DP245" s="124"/>
      <c r="DQ245" s="124"/>
      <c r="DR245" s="124"/>
      <c r="DS245" s="124"/>
      <c r="DT245" s="124"/>
      <c r="DU245" s="124"/>
      <c r="DV245" s="124"/>
      <c r="DW245" s="124"/>
      <c r="DX245" s="124"/>
      <c r="DY245" s="124"/>
      <c r="DZ245" s="124"/>
      <c r="EA245" s="124"/>
      <c r="EB245" s="124"/>
      <c r="EC245" s="124"/>
      <c r="ED245" s="124"/>
      <c r="EE245" s="124"/>
      <c r="EF245" s="124"/>
      <c r="EG245" s="124"/>
      <c r="EH245" s="124"/>
      <c r="EI245" s="124"/>
      <c r="EJ245" s="124"/>
      <c r="EK245" s="124"/>
      <c r="EL245" s="124"/>
      <c r="EM245" s="124"/>
      <c r="EN245" s="124"/>
      <c r="EO245" s="124"/>
      <c r="EP245" s="124"/>
      <c r="EQ245" s="124"/>
      <c r="ER245" s="124"/>
      <c r="ES245" s="124"/>
      <c r="ET245" s="124"/>
      <c r="EU245" s="124"/>
      <c r="EV245" s="124"/>
      <c r="EW245" s="124"/>
      <c r="EX245" s="124"/>
      <c r="EY245" s="124"/>
      <c r="EZ245" s="124"/>
      <c r="FA245" s="124"/>
      <c r="FB245" s="124"/>
      <c r="FC245" s="124"/>
      <c r="FD245" s="124"/>
      <c r="FE245" s="124"/>
      <c r="FF245" s="124"/>
      <c r="FG245" s="124"/>
      <c r="FH245" s="124"/>
      <c r="FI245" s="124"/>
      <c r="FJ245" s="124"/>
      <c r="FK245" s="124"/>
      <c r="FL245" s="124"/>
      <c r="FM245" s="124"/>
      <c r="FN245" s="124"/>
      <c r="FO245" s="124"/>
      <c r="FP245" s="124"/>
      <c r="FQ245" s="124"/>
      <c r="FR245" s="124"/>
      <c r="FS245" s="124"/>
      <c r="FT245" s="124"/>
      <c r="FU245" s="124"/>
      <c r="FV245" s="124"/>
      <c r="FW245" s="124"/>
      <c r="FX245" s="124"/>
      <c r="FY245" s="124"/>
      <c r="FZ245" s="124"/>
      <c r="GA245" s="124"/>
      <c r="GB245" s="124"/>
      <c r="GC245" s="124"/>
      <c r="GD245" s="124"/>
      <c r="GE245" s="124"/>
      <c r="GF245" s="124"/>
      <c r="GG245" s="124"/>
      <c r="GH245" s="124"/>
      <c r="GI245" s="124"/>
      <c r="GJ245" s="124"/>
      <c r="GK245" s="124"/>
      <c r="GL245" s="124"/>
      <c r="GM245" s="124"/>
      <c r="GN245" s="124"/>
      <c r="GO245" s="124"/>
      <c r="GP245" s="124"/>
      <c r="GQ245" s="124"/>
      <c r="GR245" s="124"/>
      <c r="GS245" s="124"/>
      <c r="GT245" s="124"/>
      <c r="GU245" s="124"/>
      <c r="GV245" s="124"/>
      <c r="GW245" s="124"/>
      <c r="GX245" s="124"/>
      <c r="GY245" s="124"/>
      <c r="GZ245" s="124"/>
      <c r="HA245" s="124"/>
      <c r="HB245" s="124"/>
      <c r="HC245" s="124"/>
      <c r="HD245" s="124"/>
      <c r="HE245" s="124"/>
      <c r="HF245" s="124"/>
      <c r="HG245" s="124"/>
      <c r="HH245" s="124"/>
      <c r="HI245" s="124"/>
      <c r="HJ245" s="124"/>
      <c r="HK245" s="124"/>
      <c r="HL245" s="124"/>
      <c r="HM245" s="124"/>
      <c r="HN245" s="124"/>
      <c r="HO245" s="124"/>
      <c r="HP245" s="124"/>
      <c r="HQ245" s="124"/>
      <c r="HR245" s="124"/>
      <c r="HS245" s="124"/>
      <c r="HT245" s="124"/>
      <c r="HU245" s="124"/>
      <c r="HV245" s="124"/>
      <c r="HW245" s="124"/>
      <c r="HX245" s="124"/>
      <c r="HY245" s="124"/>
      <c r="HZ245" s="124"/>
      <c r="IA245" s="124"/>
      <c r="IB245" s="124"/>
      <c r="IC245" s="124"/>
      <c r="ID245" s="124"/>
      <c r="IE245" s="124"/>
      <c r="IF245" s="124"/>
      <c r="IG245" s="124"/>
      <c r="IH245" s="124"/>
      <c r="II245" s="124"/>
      <c r="IJ245" s="124"/>
    </row>
    <row r="246" spans="1:244" ht="24" customHeight="1">
      <c r="A246" s="195"/>
      <c r="B246" s="197"/>
      <c r="C246" s="195"/>
      <c r="D246" s="196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200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  <c r="BO246" s="124"/>
      <c r="BP246" s="124"/>
      <c r="BQ246" s="124"/>
      <c r="BR246" s="124"/>
      <c r="BS246" s="124"/>
      <c r="BT246" s="124"/>
      <c r="BU246" s="124"/>
      <c r="BV246" s="124"/>
      <c r="BW246" s="124"/>
      <c r="BX246" s="124"/>
      <c r="BY246" s="124"/>
      <c r="BZ246" s="124"/>
      <c r="CA246" s="124"/>
      <c r="CB246" s="124"/>
      <c r="CC246" s="124"/>
      <c r="CD246" s="124"/>
      <c r="CE246" s="124"/>
      <c r="CF246" s="124"/>
      <c r="CG246" s="124"/>
      <c r="CH246" s="124"/>
      <c r="CI246" s="124"/>
      <c r="CJ246" s="124"/>
      <c r="CK246" s="124"/>
      <c r="CL246" s="124"/>
      <c r="CM246" s="124"/>
      <c r="CN246" s="124"/>
      <c r="CO246" s="124"/>
      <c r="CP246" s="124"/>
      <c r="CQ246" s="124"/>
      <c r="CR246" s="124"/>
      <c r="CS246" s="124"/>
      <c r="CT246" s="124"/>
      <c r="CU246" s="124"/>
      <c r="CV246" s="124"/>
      <c r="CW246" s="124"/>
      <c r="CX246" s="124"/>
      <c r="CY246" s="124"/>
      <c r="CZ246" s="124"/>
      <c r="DA246" s="124"/>
      <c r="DB246" s="124"/>
      <c r="DC246" s="124"/>
      <c r="DD246" s="124"/>
      <c r="DE246" s="124"/>
      <c r="DF246" s="124"/>
      <c r="DG246" s="124"/>
      <c r="DH246" s="124"/>
      <c r="DI246" s="124"/>
      <c r="DJ246" s="124"/>
      <c r="DK246" s="124"/>
      <c r="DL246" s="124"/>
      <c r="DM246" s="124"/>
      <c r="DN246" s="124"/>
      <c r="DO246" s="124"/>
      <c r="DP246" s="124"/>
      <c r="DQ246" s="124"/>
      <c r="DR246" s="124"/>
      <c r="DS246" s="124"/>
      <c r="DT246" s="124"/>
      <c r="DU246" s="124"/>
      <c r="DV246" s="124"/>
      <c r="DW246" s="124"/>
      <c r="DX246" s="124"/>
      <c r="DY246" s="124"/>
      <c r="DZ246" s="124"/>
      <c r="EA246" s="124"/>
      <c r="EB246" s="124"/>
      <c r="EC246" s="124"/>
      <c r="ED246" s="124"/>
      <c r="EE246" s="124"/>
      <c r="EF246" s="124"/>
      <c r="EG246" s="124"/>
      <c r="EH246" s="124"/>
      <c r="EI246" s="124"/>
      <c r="EJ246" s="124"/>
      <c r="EK246" s="124"/>
      <c r="EL246" s="124"/>
      <c r="EM246" s="124"/>
      <c r="EN246" s="124"/>
      <c r="EO246" s="124"/>
      <c r="EP246" s="124"/>
      <c r="EQ246" s="124"/>
      <c r="ER246" s="124"/>
      <c r="ES246" s="124"/>
      <c r="ET246" s="124"/>
      <c r="EU246" s="124"/>
      <c r="EV246" s="124"/>
      <c r="EW246" s="124"/>
      <c r="EX246" s="124"/>
      <c r="EY246" s="124"/>
      <c r="EZ246" s="124"/>
      <c r="FA246" s="124"/>
      <c r="FB246" s="124"/>
      <c r="FC246" s="124"/>
      <c r="FD246" s="124"/>
      <c r="FE246" s="124"/>
      <c r="FF246" s="124"/>
      <c r="FG246" s="124"/>
      <c r="FH246" s="124"/>
      <c r="FI246" s="124"/>
      <c r="FJ246" s="124"/>
      <c r="FK246" s="124"/>
      <c r="FL246" s="124"/>
      <c r="FM246" s="124"/>
      <c r="FN246" s="124"/>
      <c r="FO246" s="124"/>
      <c r="FP246" s="124"/>
      <c r="FQ246" s="124"/>
      <c r="FR246" s="124"/>
      <c r="FS246" s="124"/>
      <c r="FT246" s="124"/>
      <c r="FU246" s="124"/>
      <c r="FV246" s="124"/>
      <c r="FW246" s="124"/>
      <c r="FX246" s="124"/>
      <c r="FY246" s="124"/>
      <c r="FZ246" s="124"/>
      <c r="GA246" s="124"/>
      <c r="GB246" s="124"/>
      <c r="GC246" s="124"/>
      <c r="GD246" s="124"/>
      <c r="GE246" s="124"/>
      <c r="GF246" s="124"/>
      <c r="GG246" s="124"/>
      <c r="GH246" s="124"/>
      <c r="GI246" s="124"/>
      <c r="GJ246" s="124"/>
      <c r="GK246" s="124"/>
      <c r="GL246" s="124"/>
      <c r="GM246" s="124"/>
      <c r="GN246" s="124"/>
      <c r="GO246" s="124"/>
      <c r="GP246" s="124"/>
      <c r="GQ246" s="124"/>
      <c r="GR246" s="124"/>
      <c r="GS246" s="124"/>
      <c r="GT246" s="124"/>
      <c r="GU246" s="124"/>
      <c r="GV246" s="124"/>
      <c r="GW246" s="124"/>
      <c r="GX246" s="124"/>
      <c r="GY246" s="124"/>
      <c r="GZ246" s="124"/>
      <c r="HA246" s="124"/>
      <c r="HB246" s="124"/>
      <c r="HC246" s="124"/>
      <c r="HD246" s="124"/>
      <c r="HE246" s="124"/>
      <c r="HF246" s="124"/>
      <c r="HG246" s="124"/>
      <c r="HH246" s="124"/>
      <c r="HI246" s="124"/>
      <c r="HJ246" s="124"/>
      <c r="HK246" s="124"/>
      <c r="HL246" s="124"/>
      <c r="HM246" s="124"/>
      <c r="HN246" s="124"/>
      <c r="HO246" s="124"/>
      <c r="HP246" s="124"/>
      <c r="HQ246" s="124"/>
      <c r="HR246" s="124"/>
      <c r="HS246" s="124"/>
      <c r="HT246" s="124"/>
      <c r="HU246" s="124"/>
      <c r="HV246" s="124"/>
      <c r="HW246" s="124"/>
      <c r="HX246" s="124"/>
      <c r="HY246" s="124"/>
      <c r="HZ246" s="124"/>
      <c r="IA246" s="124"/>
      <c r="IB246" s="124"/>
      <c r="IC246" s="124"/>
      <c r="ID246" s="124"/>
      <c r="IE246" s="124"/>
      <c r="IF246" s="124"/>
      <c r="IG246" s="124"/>
      <c r="IH246" s="124"/>
      <c r="II246" s="124"/>
      <c r="IJ246" s="124"/>
    </row>
    <row r="247" spans="1:244" ht="24" customHeight="1">
      <c r="A247" s="195"/>
      <c r="B247" s="197"/>
      <c r="C247" s="195"/>
      <c r="D247" s="196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200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  <c r="BO247" s="124"/>
      <c r="BP247" s="124"/>
      <c r="BQ247" s="124"/>
      <c r="BR247" s="124"/>
      <c r="BS247" s="124"/>
      <c r="BT247" s="124"/>
      <c r="BU247" s="124"/>
      <c r="BV247" s="124"/>
      <c r="BW247" s="124"/>
      <c r="BX247" s="124"/>
      <c r="BY247" s="124"/>
      <c r="BZ247" s="124"/>
      <c r="CA247" s="124"/>
      <c r="CB247" s="124"/>
      <c r="CC247" s="124"/>
      <c r="CD247" s="124"/>
      <c r="CE247" s="124"/>
      <c r="CF247" s="124"/>
      <c r="CG247" s="124"/>
      <c r="CH247" s="124"/>
      <c r="CI247" s="124"/>
      <c r="CJ247" s="124"/>
      <c r="CK247" s="124"/>
      <c r="CL247" s="124"/>
      <c r="CM247" s="124"/>
      <c r="CN247" s="124"/>
      <c r="CO247" s="124"/>
      <c r="CP247" s="124"/>
      <c r="CQ247" s="124"/>
      <c r="CR247" s="124"/>
      <c r="CS247" s="124"/>
      <c r="CT247" s="124"/>
      <c r="CU247" s="124"/>
      <c r="CV247" s="124"/>
      <c r="CW247" s="124"/>
      <c r="CX247" s="124"/>
      <c r="CY247" s="124"/>
      <c r="CZ247" s="124"/>
      <c r="DA247" s="124"/>
      <c r="DB247" s="124"/>
      <c r="DC247" s="124"/>
      <c r="DD247" s="124"/>
      <c r="DE247" s="124"/>
      <c r="DF247" s="124"/>
      <c r="DG247" s="124"/>
      <c r="DH247" s="124"/>
      <c r="DI247" s="124"/>
      <c r="DJ247" s="124"/>
      <c r="DK247" s="124"/>
      <c r="DL247" s="124"/>
      <c r="DM247" s="124"/>
      <c r="DN247" s="124"/>
      <c r="DO247" s="124"/>
      <c r="DP247" s="124"/>
      <c r="DQ247" s="124"/>
      <c r="DR247" s="124"/>
      <c r="DS247" s="124"/>
      <c r="DT247" s="124"/>
      <c r="DU247" s="124"/>
      <c r="DV247" s="124"/>
      <c r="DW247" s="124"/>
      <c r="DX247" s="124"/>
      <c r="DY247" s="124"/>
      <c r="DZ247" s="124"/>
      <c r="EA247" s="124"/>
      <c r="EB247" s="124"/>
      <c r="EC247" s="124"/>
      <c r="ED247" s="124"/>
      <c r="EE247" s="124"/>
      <c r="EF247" s="124"/>
      <c r="EG247" s="124"/>
      <c r="EH247" s="124"/>
      <c r="EI247" s="124"/>
      <c r="EJ247" s="124"/>
      <c r="EK247" s="124"/>
      <c r="EL247" s="124"/>
      <c r="EM247" s="124"/>
      <c r="EN247" s="124"/>
      <c r="EO247" s="124"/>
      <c r="EP247" s="124"/>
      <c r="EQ247" s="124"/>
      <c r="ER247" s="124"/>
      <c r="ES247" s="124"/>
      <c r="ET247" s="124"/>
      <c r="EU247" s="124"/>
      <c r="EV247" s="124"/>
      <c r="EW247" s="124"/>
      <c r="EX247" s="124"/>
      <c r="EY247" s="124"/>
      <c r="EZ247" s="124"/>
      <c r="FA247" s="124"/>
      <c r="FB247" s="124"/>
      <c r="FC247" s="124"/>
      <c r="FD247" s="124"/>
      <c r="FE247" s="124"/>
      <c r="FF247" s="124"/>
      <c r="FG247" s="124"/>
      <c r="FH247" s="124"/>
      <c r="FI247" s="124"/>
      <c r="FJ247" s="124"/>
      <c r="FK247" s="124"/>
      <c r="FL247" s="124"/>
      <c r="FM247" s="124"/>
      <c r="FN247" s="124"/>
      <c r="FO247" s="124"/>
      <c r="FP247" s="124"/>
      <c r="FQ247" s="124"/>
      <c r="FR247" s="124"/>
      <c r="FS247" s="124"/>
      <c r="FT247" s="124"/>
      <c r="FU247" s="124"/>
      <c r="FV247" s="124"/>
      <c r="FW247" s="124"/>
      <c r="FX247" s="124"/>
      <c r="FY247" s="124"/>
      <c r="FZ247" s="124"/>
      <c r="GA247" s="124"/>
      <c r="GB247" s="124"/>
      <c r="GC247" s="124"/>
      <c r="GD247" s="124"/>
      <c r="GE247" s="124"/>
      <c r="GF247" s="124"/>
      <c r="GG247" s="124"/>
      <c r="GH247" s="124"/>
      <c r="GI247" s="124"/>
      <c r="GJ247" s="124"/>
      <c r="GK247" s="124"/>
      <c r="GL247" s="124"/>
      <c r="GM247" s="124"/>
      <c r="GN247" s="124"/>
      <c r="GO247" s="124"/>
      <c r="GP247" s="124"/>
      <c r="GQ247" s="124"/>
      <c r="GR247" s="124"/>
      <c r="GS247" s="124"/>
      <c r="GT247" s="124"/>
      <c r="GU247" s="124"/>
      <c r="GV247" s="124"/>
      <c r="GW247" s="124"/>
      <c r="GX247" s="124"/>
      <c r="GY247" s="124"/>
      <c r="GZ247" s="124"/>
      <c r="HA247" s="124"/>
      <c r="HB247" s="124"/>
      <c r="HC247" s="124"/>
      <c r="HD247" s="124"/>
      <c r="HE247" s="124"/>
      <c r="HF247" s="124"/>
      <c r="HG247" s="124"/>
      <c r="HH247" s="124"/>
      <c r="HI247" s="124"/>
      <c r="HJ247" s="124"/>
      <c r="HK247" s="124"/>
      <c r="HL247" s="124"/>
      <c r="HM247" s="124"/>
      <c r="HN247" s="124"/>
      <c r="HO247" s="124"/>
      <c r="HP247" s="124"/>
      <c r="HQ247" s="124"/>
      <c r="HR247" s="124"/>
      <c r="HS247" s="124"/>
      <c r="HT247" s="124"/>
      <c r="HU247" s="124"/>
      <c r="HV247" s="124"/>
      <c r="HW247" s="124"/>
      <c r="HX247" s="124"/>
      <c r="HY247" s="124"/>
      <c r="HZ247" s="124"/>
      <c r="IA247" s="124"/>
      <c r="IB247" s="124"/>
      <c r="IC247" s="124"/>
      <c r="ID247" s="124"/>
      <c r="IE247" s="124"/>
      <c r="IF247" s="124"/>
      <c r="IG247" s="124"/>
      <c r="IH247" s="124"/>
      <c r="II247" s="124"/>
      <c r="IJ247" s="124"/>
    </row>
    <row r="248" spans="1:244" ht="24" customHeight="1">
      <c r="A248" s="195"/>
      <c r="B248" s="197"/>
      <c r="C248" s="195"/>
      <c r="D248" s="196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200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  <c r="BO248" s="124"/>
      <c r="BP248" s="124"/>
      <c r="BQ248" s="124"/>
      <c r="BR248" s="124"/>
      <c r="BS248" s="124"/>
      <c r="BT248" s="124"/>
      <c r="BU248" s="124"/>
      <c r="BV248" s="124"/>
      <c r="BW248" s="124"/>
      <c r="BX248" s="124"/>
      <c r="BY248" s="124"/>
      <c r="BZ248" s="124"/>
      <c r="CA248" s="124"/>
      <c r="CB248" s="124"/>
      <c r="CC248" s="124"/>
      <c r="CD248" s="124"/>
      <c r="CE248" s="124"/>
      <c r="CF248" s="124"/>
      <c r="CG248" s="124"/>
      <c r="CH248" s="124"/>
      <c r="CI248" s="124"/>
      <c r="CJ248" s="124"/>
      <c r="CK248" s="124"/>
      <c r="CL248" s="124"/>
      <c r="CM248" s="124"/>
      <c r="CN248" s="124"/>
      <c r="CO248" s="124"/>
      <c r="CP248" s="124"/>
      <c r="CQ248" s="124"/>
      <c r="CR248" s="124"/>
      <c r="CS248" s="124"/>
      <c r="CT248" s="124"/>
      <c r="CU248" s="124"/>
      <c r="CV248" s="124"/>
      <c r="CW248" s="124"/>
      <c r="CX248" s="124"/>
      <c r="CY248" s="124"/>
      <c r="CZ248" s="124"/>
      <c r="DA248" s="124"/>
      <c r="DB248" s="124"/>
      <c r="DC248" s="124"/>
      <c r="DD248" s="124"/>
      <c r="DE248" s="124"/>
      <c r="DF248" s="124"/>
      <c r="DG248" s="124"/>
      <c r="DH248" s="124"/>
      <c r="DI248" s="124"/>
      <c r="DJ248" s="124"/>
      <c r="DK248" s="124"/>
      <c r="DL248" s="124"/>
      <c r="DM248" s="124"/>
      <c r="DN248" s="124"/>
      <c r="DO248" s="124"/>
      <c r="DP248" s="124"/>
      <c r="DQ248" s="124"/>
      <c r="DR248" s="124"/>
      <c r="DS248" s="124"/>
      <c r="DT248" s="124"/>
      <c r="DU248" s="124"/>
      <c r="DV248" s="124"/>
      <c r="DW248" s="124"/>
      <c r="DX248" s="124"/>
      <c r="DY248" s="124"/>
      <c r="DZ248" s="124"/>
      <c r="EA248" s="124"/>
      <c r="EB248" s="124"/>
      <c r="EC248" s="124"/>
      <c r="ED248" s="124"/>
      <c r="EE248" s="124"/>
      <c r="EF248" s="124"/>
      <c r="EG248" s="124"/>
      <c r="EH248" s="124"/>
      <c r="EI248" s="124"/>
      <c r="EJ248" s="124"/>
      <c r="EK248" s="124"/>
      <c r="EL248" s="124"/>
      <c r="EM248" s="124"/>
      <c r="EN248" s="124"/>
      <c r="EO248" s="124"/>
      <c r="EP248" s="124"/>
      <c r="EQ248" s="124"/>
      <c r="ER248" s="124"/>
      <c r="ES248" s="124"/>
      <c r="ET248" s="124"/>
      <c r="EU248" s="124"/>
      <c r="EV248" s="124"/>
      <c r="EW248" s="124"/>
      <c r="EX248" s="124"/>
      <c r="EY248" s="124"/>
      <c r="EZ248" s="124"/>
      <c r="FA248" s="124"/>
      <c r="FB248" s="124"/>
      <c r="FC248" s="124"/>
      <c r="FD248" s="124"/>
      <c r="FE248" s="124"/>
      <c r="FF248" s="124"/>
      <c r="FG248" s="124"/>
      <c r="FH248" s="124"/>
      <c r="FI248" s="124"/>
      <c r="FJ248" s="124"/>
      <c r="FK248" s="124"/>
      <c r="FL248" s="124"/>
      <c r="FM248" s="124"/>
      <c r="FN248" s="124"/>
      <c r="FO248" s="124"/>
      <c r="FP248" s="124"/>
      <c r="FQ248" s="124"/>
      <c r="FR248" s="124"/>
      <c r="FS248" s="124"/>
      <c r="FT248" s="124"/>
      <c r="FU248" s="124"/>
      <c r="FV248" s="124"/>
      <c r="FW248" s="124"/>
      <c r="FX248" s="124"/>
      <c r="FY248" s="124"/>
      <c r="FZ248" s="124"/>
      <c r="GA248" s="124"/>
      <c r="GB248" s="124"/>
      <c r="GC248" s="124"/>
      <c r="GD248" s="124"/>
      <c r="GE248" s="124"/>
      <c r="GF248" s="124"/>
      <c r="GG248" s="124"/>
      <c r="GH248" s="124"/>
      <c r="GI248" s="124"/>
      <c r="GJ248" s="124"/>
      <c r="GK248" s="124"/>
      <c r="GL248" s="124"/>
      <c r="GM248" s="124"/>
      <c r="GN248" s="124"/>
      <c r="GO248" s="124"/>
      <c r="GP248" s="124"/>
      <c r="GQ248" s="124"/>
      <c r="GR248" s="124"/>
      <c r="GS248" s="124"/>
      <c r="GT248" s="124"/>
      <c r="GU248" s="124"/>
      <c r="GV248" s="124"/>
      <c r="GW248" s="124"/>
      <c r="GX248" s="124"/>
      <c r="GY248" s="124"/>
      <c r="GZ248" s="124"/>
      <c r="HA248" s="124"/>
      <c r="HB248" s="124"/>
      <c r="HC248" s="124"/>
      <c r="HD248" s="124"/>
      <c r="HE248" s="124"/>
      <c r="HF248" s="124"/>
      <c r="HG248" s="124"/>
      <c r="HH248" s="124"/>
      <c r="HI248" s="124"/>
      <c r="HJ248" s="124"/>
      <c r="HK248" s="124"/>
      <c r="HL248" s="124"/>
      <c r="HM248" s="124"/>
      <c r="HN248" s="124"/>
      <c r="HO248" s="124"/>
      <c r="HP248" s="124"/>
      <c r="HQ248" s="124"/>
      <c r="HR248" s="124"/>
      <c r="HS248" s="124"/>
      <c r="HT248" s="124"/>
      <c r="HU248" s="124"/>
      <c r="HV248" s="124"/>
      <c r="HW248" s="124"/>
      <c r="HX248" s="124"/>
      <c r="HY248" s="124"/>
      <c r="HZ248" s="124"/>
      <c r="IA248" s="124"/>
      <c r="IB248" s="124"/>
      <c r="IC248" s="124"/>
      <c r="ID248" s="124"/>
      <c r="IE248" s="124"/>
      <c r="IF248" s="124"/>
      <c r="IG248" s="124"/>
      <c r="IH248" s="124"/>
      <c r="II248" s="124"/>
      <c r="IJ248" s="124"/>
    </row>
    <row r="249" spans="1:244" ht="24" customHeight="1">
      <c r="A249" s="195"/>
      <c r="B249" s="197"/>
      <c r="C249" s="195"/>
      <c r="D249" s="196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200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  <c r="BO249" s="124"/>
      <c r="BP249" s="124"/>
      <c r="BQ249" s="124"/>
      <c r="BR249" s="124"/>
      <c r="BS249" s="124"/>
      <c r="BT249" s="124"/>
      <c r="BU249" s="124"/>
      <c r="BV249" s="124"/>
      <c r="BW249" s="124"/>
      <c r="BX249" s="124"/>
      <c r="BY249" s="124"/>
      <c r="BZ249" s="124"/>
      <c r="CA249" s="124"/>
      <c r="CB249" s="124"/>
      <c r="CC249" s="124"/>
      <c r="CD249" s="124"/>
      <c r="CE249" s="124"/>
      <c r="CF249" s="124"/>
      <c r="CG249" s="124"/>
      <c r="CH249" s="124"/>
      <c r="CI249" s="124"/>
      <c r="CJ249" s="124"/>
      <c r="CK249" s="124"/>
      <c r="CL249" s="124"/>
      <c r="CM249" s="124"/>
      <c r="CN249" s="124"/>
      <c r="CO249" s="124"/>
      <c r="CP249" s="124"/>
      <c r="CQ249" s="124"/>
      <c r="CR249" s="124"/>
      <c r="CS249" s="124"/>
      <c r="CT249" s="124"/>
      <c r="CU249" s="124"/>
      <c r="CV249" s="124"/>
      <c r="CW249" s="124"/>
      <c r="CX249" s="124"/>
      <c r="CY249" s="124"/>
      <c r="CZ249" s="124"/>
      <c r="DA249" s="124"/>
      <c r="DB249" s="124"/>
      <c r="DC249" s="124"/>
      <c r="DD249" s="124"/>
      <c r="DE249" s="124"/>
      <c r="DF249" s="124"/>
      <c r="DG249" s="124"/>
      <c r="DH249" s="124"/>
      <c r="DI249" s="124"/>
      <c r="DJ249" s="124"/>
      <c r="DK249" s="124"/>
      <c r="DL249" s="124"/>
      <c r="DM249" s="124"/>
      <c r="DN249" s="124"/>
      <c r="DO249" s="124"/>
      <c r="DP249" s="124"/>
      <c r="DQ249" s="124"/>
      <c r="DR249" s="124"/>
      <c r="DS249" s="124"/>
      <c r="DT249" s="124"/>
      <c r="DU249" s="124"/>
      <c r="DV249" s="124"/>
      <c r="DW249" s="124"/>
      <c r="DX249" s="124"/>
      <c r="DY249" s="124"/>
      <c r="DZ249" s="124"/>
      <c r="EA249" s="124"/>
      <c r="EB249" s="124"/>
      <c r="EC249" s="124"/>
      <c r="ED249" s="124"/>
      <c r="EE249" s="124"/>
      <c r="EF249" s="124"/>
      <c r="EG249" s="124"/>
      <c r="EH249" s="124"/>
      <c r="EI249" s="124"/>
      <c r="EJ249" s="124"/>
      <c r="EK249" s="124"/>
      <c r="EL249" s="124"/>
      <c r="EM249" s="124"/>
      <c r="EN249" s="124"/>
      <c r="EO249" s="124"/>
      <c r="EP249" s="124"/>
      <c r="EQ249" s="124"/>
      <c r="ER249" s="124"/>
      <c r="ES249" s="124"/>
      <c r="ET249" s="124"/>
      <c r="EU249" s="124"/>
      <c r="EV249" s="124"/>
      <c r="EW249" s="124"/>
      <c r="EX249" s="124"/>
      <c r="EY249" s="124"/>
      <c r="EZ249" s="124"/>
      <c r="FA249" s="124"/>
      <c r="FB249" s="124"/>
      <c r="FC249" s="124"/>
      <c r="FD249" s="124"/>
      <c r="FE249" s="124"/>
      <c r="FF249" s="124"/>
      <c r="FG249" s="124"/>
      <c r="FH249" s="124"/>
      <c r="FI249" s="124"/>
      <c r="FJ249" s="124"/>
      <c r="FK249" s="124"/>
      <c r="FL249" s="124"/>
      <c r="FM249" s="124"/>
      <c r="FN249" s="124"/>
      <c r="FO249" s="124"/>
      <c r="FP249" s="124"/>
      <c r="FQ249" s="124"/>
      <c r="FR249" s="124"/>
      <c r="FS249" s="124"/>
      <c r="FT249" s="124"/>
      <c r="FU249" s="124"/>
      <c r="FV249" s="124"/>
      <c r="FW249" s="124"/>
      <c r="FX249" s="124"/>
      <c r="FY249" s="124"/>
      <c r="FZ249" s="124"/>
      <c r="GA249" s="124"/>
      <c r="GB249" s="124"/>
      <c r="GC249" s="124"/>
      <c r="GD249" s="124"/>
      <c r="GE249" s="124"/>
      <c r="GF249" s="124"/>
      <c r="GG249" s="124"/>
      <c r="GH249" s="124"/>
      <c r="GI249" s="124"/>
      <c r="GJ249" s="124"/>
      <c r="GK249" s="124"/>
      <c r="GL249" s="124"/>
      <c r="GM249" s="124"/>
      <c r="GN249" s="124"/>
      <c r="GO249" s="124"/>
      <c r="GP249" s="124"/>
      <c r="GQ249" s="124"/>
      <c r="GR249" s="124"/>
      <c r="GS249" s="124"/>
      <c r="GT249" s="124"/>
      <c r="GU249" s="124"/>
      <c r="GV249" s="124"/>
      <c r="GW249" s="124"/>
      <c r="GX249" s="124"/>
      <c r="GY249" s="124"/>
      <c r="GZ249" s="124"/>
      <c r="HA249" s="124"/>
      <c r="HB249" s="124"/>
      <c r="HC249" s="124"/>
      <c r="HD249" s="124"/>
      <c r="HE249" s="124"/>
      <c r="HF249" s="124"/>
      <c r="HG249" s="124"/>
      <c r="HH249" s="124"/>
      <c r="HI249" s="124"/>
      <c r="HJ249" s="124"/>
      <c r="HK249" s="124"/>
      <c r="HL249" s="124"/>
      <c r="HM249" s="124"/>
      <c r="HN249" s="124"/>
      <c r="HO249" s="124"/>
      <c r="HP249" s="124"/>
      <c r="HQ249" s="124"/>
      <c r="HR249" s="124"/>
      <c r="HS249" s="124"/>
      <c r="HT249" s="124"/>
      <c r="HU249" s="124"/>
      <c r="HV249" s="124"/>
      <c r="HW249" s="124"/>
      <c r="HX249" s="124"/>
      <c r="HY249" s="124"/>
      <c r="HZ249" s="124"/>
      <c r="IA249" s="124"/>
      <c r="IB249" s="124"/>
      <c r="IC249" s="124"/>
      <c r="ID249" s="124"/>
      <c r="IE249" s="124"/>
      <c r="IF249" s="124"/>
      <c r="IG249" s="124"/>
      <c r="IH249" s="124"/>
      <c r="II249" s="124"/>
      <c r="IJ249" s="124"/>
    </row>
    <row r="250" spans="1:244" ht="24" customHeight="1">
      <c r="A250" s="195"/>
      <c r="B250" s="197"/>
      <c r="C250" s="195"/>
      <c r="D250" s="196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200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  <c r="BO250" s="124"/>
      <c r="BP250" s="124"/>
      <c r="BQ250" s="124"/>
      <c r="BR250" s="124"/>
      <c r="BS250" s="124"/>
      <c r="BT250" s="124"/>
      <c r="BU250" s="124"/>
      <c r="BV250" s="124"/>
      <c r="BW250" s="124"/>
      <c r="BX250" s="124"/>
      <c r="BY250" s="124"/>
      <c r="BZ250" s="124"/>
      <c r="CA250" s="124"/>
      <c r="CB250" s="124"/>
      <c r="CC250" s="124"/>
      <c r="CD250" s="124"/>
      <c r="CE250" s="124"/>
      <c r="CF250" s="124"/>
      <c r="CG250" s="124"/>
      <c r="CH250" s="124"/>
      <c r="CI250" s="124"/>
      <c r="CJ250" s="124"/>
      <c r="CK250" s="124"/>
      <c r="CL250" s="124"/>
      <c r="CM250" s="124"/>
      <c r="CN250" s="124"/>
      <c r="CO250" s="124"/>
      <c r="CP250" s="124"/>
      <c r="CQ250" s="124"/>
      <c r="CR250" s="124"/>
      <c r="CS250" s="124"/>
      <c r="CT250" s="124"/>
      <c r="CU250" s="124"/>
      <c r="CV250" s="124"/>
      <c r="CW250" s="124"/>
      <c r="CX250" s="124"/>
      <c r="CY250" s="124"/>
      <c r="CZ250" s="124"/>
      <c r="DA250" s="124"/>
      <c r="DB250" s="124"/>
      <c r="DC250" s="124"/>
      <c r="DD250" s="124"/>
      <c r="DE250" s="124"/>
      <c r="DF250" s="124"/>
      <c r="DG250" s="124"/>
      <c r="DH250" s="124"/>
      <c r="DI250" s="124"/>
      <c r="DJ250" s="124"/>
      <c r="DK250" s="124"/>
      <c r="DL250" s="124"/>
      <c r="DM250" s="124"/>
      <c r="DN250" s="124"/>
      <c r="DO250" s="124"/>
      <c r="DP250" s="124"/>
      <c r="DQ250" s="124"/>
      <c r="DR250" s="124"/>
      <c r="DS250" s="124"/>
      <c r="DT250" s="124"/>
      <c r="DU250" s="124"/>
      <c r="DV250" s="124"/>
      <c r="DW250" s="124"/>
      <c r="DX250" s="124"/>
      <c r="DY250" s="124"/>
      <c r="DZ250" s="124"/>
      <c r="EA250" s="124"/>
      <c r="EB250" s="124"/>
      <c r="EC250" s="124"/>
      <c r="ED250" s="124"/>
      <c r="EE250" s="124"/>
      <c r="EF250" s="124"/>
      <c r="EG250" s="124"/>
      <c r="EH250" s="124"/>
      <c r="EI250" s="124"/>
      <c r="EJ250" s="124"/>
      <c r="EK250" s="124"/>
      <c r="EL250" s="124"/>
      <c r="EM250" s="124"/>
      <c r="EN250" s="124"/>
      <c r="EO250" s="124"/>
      <c r="EP250" s="124"/>
      <c r="EQ250" s="124"/>
      <c r="ER250" s="124"/>
      <c r="ES250" s="124"/>
      <c r="ET250" s="124"/>
      <c r="EU250" s="124"/>
      <c r="EV250" s="124"/>
      <c r="EW250" s="124"/>
      <c r="EX250" s="124"/>
      <c r="EY250" s="124"/>
      <c r="EZ250" s="124"/>
      <c r="FA250" s="124"/>
      <c r="FB250" s="124"/>
      <c r="FC250" s="124"/>
      <c r="FD250" s="124"/>
      <c r="FE250" s="124"/>
      <c r="FF250" s="124"/>
      <c r="FG250" s="124"/>
      <c r="FH250" s="124"/>
      <c r="FI250" s="124"/>
      <c r="FJ250" s="124"/>
      <c r="FK250" s="124"/>
      <c r="FL250" s="124"/>
      <c r="FM250" s="124"/>
      <c r="FN250" s="124"/>
      <c r="FO250" s="124"/>
      <c r="FP250" s="124"/>
      <c r="FQ250" s="124"/>
      <c r="FR250" s="124"/>
      <c r="FS250" s="124"/>
      <c r="FT250" s="124"/>
      <c r="FU250" s="124"/>
      <c r="FV250" s="124"/>
      <c r="FW250" s="124"/>
      <c r="FX250" s="124"/>
      <c r="FY250" s="124"/>
      <c r="FZ250" s="124"/>
      <c r="GA250" s="124"/>
      <c r="GB250" s="124"/>
      <c r="GC250" s="124"/>
      <c r="GD250" s="124"/>
      <c r="GE250" s="124"/>
      <c r="GF250" s="124"/>
      <c r="GG250" s="124"/>
      <c r="GH250" s="124"/>
      <c r="GI250" s="124"/>
      <c r="GJ250" s="124"/>
      <c r="GK250" s="124"/>
      <c r="GL250" s="124"/>
      <c r="GM250" s="124"/>
      <c r="GN250" s="124"/>
      <c r="GO250" s="124"/>
      <c r="GP250" s="124"/>
      <c r="GQ250" s="124"/>
      <c r="GR250" s="124"/>
      <c r="GS250" s="124"/>
      <c r="GT250" s="124"/>
      <c r="GU250" s="124"/>
      <c r="GV250" s="124"/>
      <c r="GW250" s="124"/>
      <c r="GX250" s="124"/>
      <c r="GY250" s="124"/>
      <c r="GZ250" s="124"/>
      <c r="HA250" s="124"/>
      <c r="HB250" s="124"/>
      <c r="HC250" s="124"/>
      <c r="HD250" s="124"/>
      <c r="HE250" s="124"/>
      <c r="HF250" s="124"/>
      <c r="HG250" s="124"/>
      <c r="HH250" s="124"/>
      <c r="HI250" s="124"/>
      <c r="HJ250" s="124"/>
      <c r="HK250" s="124"/>
      <c r="HL250" s="124"/>
      <c r="HM250" s="124"/>
      <c r="HN250" s="124"/>
      <c r="HO250" s="124"/>
      <c r="HP250" s="124"/>
      <c r="HQ250" s="124"/>
      <c r="HR250" s="124"/>
      <c r="HS250" s="124"/>
      <c r="HT250" s="124"/>
      <c r="HU250" s="124"/>
      <c r="HV250" s="124"/>
      <c r="HW250" s="124"/>
      <c r="HX250" s="124"/>
      <c r="HY250" s="124"/>
      <c r="HZ250" s="124"/>
      <c r="IA250" s="124"/>
      <c r="IB250" s="124"/>
      <c r="IC250" s="124"/>
      <c r="ID250" s="124"/>
      <c r="IE250" s="124"/>
      <c r="IF250" s="124"/>
      <c r="IG250" s="124"/>
      <c r="IH250" s="124"/>
      <c r="II250" s="124"/>
      <c r="IJ250" s="124"/>
    </row>
    <row r="251" spans="1:244" ht="24" customHeight="1">
      <c r="A251" s="195"/>
      <c r="B251" s="197"/>
      <c r="C251" s="195"/>
      <c r="D251" s="196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200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  <c r="BO251" s="124"/>
      <c r="BP251" s="124"/>
      <c r="BQ251" s="124"/>
      <c r="BR251" s="124"/>
      <c r="BS251" s="124"/>
      <c r="BT251" s="124"/>
      <c r="BU251" s="124"/>
      <c r="BV251" s="124"/>
      <c r="BW251" s="124"/>
      <c r="BX251" s="124"/>
      <c r="BY251" s="124"/>
      <c r="BZ251" s="124"/>
      <c r="CA251" s="124"/>
      <c r="CB251" s="124"/>
      <c r="CC251" s="124"/>
      <c r="CD251" s="124"/>
      <c r="CE251" s="124"/>
      <c r="CF251" s="124"/>
      <c r="CG251" s="124"/>
      <c r="CH251" s="124"/>
      <c r="CI251" s="124"/>
      <c r="CJ251" s="124"/>
      <c r="CK251" s="124"/>
      <c r="CL251" s="124"/>
      <c r="CM251" s="124"/>
      <c r="CN251" s="124"/>
      <c r="CO251" s="124"/>
      <c r="CP251" s="124"/>
      <c r="CQ251" s="124"/>
      <c r="CR251" s="124"/>
      <c r="CS251" s="124"/>
      <c r="CT251" s="124"/>
      <c r="CU251" s="124"/>
      <c r="CV251" s="124"/>
      <c r="CW251" s="124"/>
      <c r="CX251" s="124"/>
      <c r="CY251" s="124"/>
      <c r="CZ251" s="124"/>
      <c r="DA251" s="124"/>
      <c r="DB251" s="124"/>
      <c r="DC251" s="124"/>
      <c r="DD251" s="124"/>
      <c r="DE251" s="124"/>
      <c r="DF251" s="124"/>
      <c r="DG251" s="124"/>
      <c r="DH251" s="124"/>
      <c r="DI251" s="124"/>
      <c r="DJ251" s="124"/>
      <c r="DK251" s="124"/>
      <c r="DL251" s="124"/>
      <c r="DM251" s="124"/>
      <c r="DN251" s="124"/>
      <c r="DO251" s="124"/>
      <c r="DP251" s="124"/>
      <c r="DQ251" s="124"/>
      <c r="DR251" s="124"/>
      <c r="DS251" s="124"/>
      <c r="DT251" s="124"/>
      <c r="DU251" s="124"/>
      <c r="DV251" s="124"/>
      <c r="DW251" s="124"/>
      <c r="DX251" s="124"/>
      <c r="DY251" s="124"/>
      <c r="DZ251" s="124"/>
      <c r="EA251" s="124"/>
      <c r="EB251" s="124"/>
      <c r="EC251" s="124"/>
      <c r="ED251" s="124"/>
      <c r="EE251" s="124"/>
      <c r="EF251" s="124"/>
      <c r="EG251" s="124"/>
      <c r="EH251" s="124"/>
      <c r="EI251" s="124"/>
      <c r="EJ251" s="124"/>
      <c r="EK251" s="124"/>
      <c r="EL251" s="124"/>
      <c r="EM251" s="124"/>
      <c r="EN251" s="124"/>
      <c r="EO251" s="124"/>
      <c r="EP251" s="124"/>
      <c r="EQ251" s="124"/>
      <c r="ER251" s="124"/>
      <c r="ES251" s="124"/>
      <c r="ET251" s="124"/>
      <c r="EU251" s="124"/>
      <c r="EV251" s="124"/>
      <c r="EW251" s="124"/>
      <c r="EX251" s="124"/>
      <c r="EY251" s="124"/>
      <c r="EZ251" s="124"/>
      <c r="FA251" s="124"/>
      <c r="FB251" s="124"/>
      <c r="FC251" s="124"/>
      <c r="FD251" s="124"/>
      <c r="FE251" s="124"/>
      <c r="FF251" s="124"/>
      <c r="FG251" s="124"/>
      <c r="FH251" s="124"/>
      <c r="FI251" s="124"/>
      <c r="FJ251" s="124"/>
      <c r="FK251" s="124"/>
      <c r="FL251" s="124"/>
      <c r="FM251" s="124"/>
      <c r="FN251" s="124"/>
      <c r="FO251" s="124"/>
      <c r="FP251" s="124"/>
      <c r="FQ251" s="124"/>
      <c r="FR251" s="124"/>
      <c r="FS251" s="124"/>
      <c r="FT251" s="124"/>
      <c r="FU251" s="124"/>
      <c r="FV251" s="124"/>
      <c r="FW251" s="124"/>
      <c r="FX251" s="124"/>
      <c r="FY251" s="124"/>
      <c r="FZ251" s="124"/>
      <c r="GA251" s="124"/>
      <c r="GB251" s="124"/>
      <c r="GC251" s="124"/>
      <c r="GD251" s="124"/>
      <c r="GE251" s="124"/>
      <c r="GF251" s="124"/>
      <c r="GG251" s="124"/>
      <c r="GH251" s="124"/>
      <c r="GI251" s="124"/>
      <c r="GJ251" s="124"/>
      <c r="GK251" s="124"/>
      <c r="GL251" s="124"/>
      <c r="GM251" s="124"/>
      <c r="GN251" s="124"/>
      <c r="GO251" s="124"/>
      <c r="GP251" s="124"/>
      <c r="GQ251" s="124"/>
      <c r="GR251" s="124"/>
      <c r="GS251" s="124"/>
      <c r="GT251" s="124"/>
      <c r="GU251" s="124"/>
      <c r="GV251" s="124"/>
      <c r="GW251" s="124"/>
      <c r="GX251" s="124"/>
      <c r="GY251" s="124"/>
      <c r="GZ251" s="124"/>
      <c r="HA251" s="124"/>
      <c r="HB251" s="124"/>
      <c r="HC251" s="124"/>
      <c r="HD251" s="124"/>
      <c r="HE251" s="124"/>
      <c r="HF251" s="124"/>
      <c r="HG251" s="124"/>
      <c r="HH251" s="124"/>
      <c r="HI251" s="124"/>
      <c r="HJ251" s="124"/>
      <c r="HK251" s="124"/>
      <c r="HL251" s="124"/>
      <c r="HM251" s="124"/>
      <c r="HN251" s="124"/>
      <c r="HO251" s="124"/>
      <c r="HP251" s="124"/>
      <c r="HQ251" s="124"/>
      <c r="HR251" s="124"/>
      <c r="HS251" s="124"/>
      <c r="HT251" s="124"/>
      <c r="HU251" s="124"/>
      <c r="HV251" s="124"/>
      <c r="HW251" s="124"/>
      <c r="HX251" s="124"/>
      <c r="HY251" s="124"/>
      <c r="HZ251" s="124"/>
      <c r="IA251" s="124"/>
      <c r="IB251" s="124"/>
      <c r="IC251" s="124"/>
      <c r="ID251" s="124"/>
      <c r="IE251" s="124"/>
      <c r="IF251" s="124"/>
      <c r="IG251" s="124"/>
      <c r="IH251" s="124"/>
      <c r="II251" s="124"/>
      <c r="IJ251" s="124"/>
    </row>
    <row r="252" spans="1:244" ht="24" customHeight="1">
      <c r="A252" s="195"/>
      <c r="B252" s="197"/>
      <c r="C252" s="195"/>
      <c r="D252" s="196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200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  <c r="BO252" s="124"/>
      <c r="BP252" s="124"/>
      <c r="BQ252" s="124"/>
      <c r="BR252" s="124"/>
      <c r="BS252" s="124"/>
      <c r="BT252" s="124"/>
      <c r="BU252" s="124"/>
      <c r="BV252" s="124"/>
      <c r="BW252" s="124"/>
      <c r="BX252" s="124"/>
      <c r="BY252" s="124"/>
      <c r="BZ252" s="124"/>
      <c r="CA252" s="124"/>
      <c r="CB252" s="124"/>
      <c r="CC252" s="124"/>
      <c r="CD252" s="124"/>
      <c r="CE252" s="124"/>
      <c r="CF252" s="124"/>
      <c r="CG252" s="124"/>
      <c r="CH252" s="124"/>
      <c r="CI252" s="124"/>
      <c r="CJ252" s="124"/>
      <c r="CK252" s="124"/>
      <c r="CL252" s="124"/>
      <c r="CM252" s="124"/>
      <c r="CN252" s="124"/>
      <c r="CO252" s="124"/>
      <c r="CP252" s="124"/>
      <c r="CQ252" s="124"/>
      <c r="CR252" s="124"/>
      <c r="CS252" s="124"/>
      <c r="CT252" s="124"/>
      <c r="CU252" s="124"/>
      <c r="CV252" s="124"/>
      <c r="CW252" s="124"/>
      <c r="CX252" s="124"/>
      <c r="CY252" s="124"/>
      <c r="CZ252" s="124"/>
      <c r="DA252" s="124"/>
      <c r="DB252" s="124"/>
      <c r="DC252" s="124"/>
      <c r="DD252" s="124"/>
      <c r="DE252" s="124"/>
      <c r="DF252" s="124"/>
      <c r="DG252" s="124"/>
      <c r="DH252" s="124"/>
      <c r="DI252" s="124"/>
      <c r="DJ252" s="124"/>
      <c r="DK252" s="124"/>
      <c r="DL252" s="124"/>
      <c r="DM252" s="124"/>
      <c r="DN252" s="124"/>
      <c r="DO252" s="124"/>
      <c r="DP252" s="124"/>
      <c r="DQ252" s="124"/>
      <c r="DR252" s="124"/>
      <c r="DS252" s="124"/>
      <c r="DT252" s="124"/>
      <c r="DU252" s="124"/>
      <c r="DV252" s="124"/>
      <c r="DW252" s="124"/>
      <c r="DX252" s="124"/>
      <c r="DY252" s="124"/>
      <c r="DZ252" s="124"/>
      <c r="EA252" s="124"/>
      <c r="EB252" s="124"/>
      <c r="EC252" s="124"/>
      <c r="ED252" s="124"/>
      <c r="EE252" s="124"/>
      <c r="EF252" s="124"/>
      <c r="EG252" s="124"/>
      <c r="EH252" s="124"/>
      <c r="EI252" s="124"/>
      <c r="EJ252" s="124"/>
      <c r="EK252" s="124"/>
      <c r="EL252" s="124"/>
      <c r="EM252" s="124"/>
      <c r="EN252" s="124"/>
      <c r="EO252" s="124"/>
      <c r="EP252" s="124"/>
      <c r="EQ252" s="124"/>
      <c r="ER252" s="124"/>
      <c r="ES252" s="124"/>
      <c r="ET252" s="124"/>
      <c r="EU252" s="124"/>
      <c r="EV252" s="124"/>
      <c r="EW252" s="124"/>
      <c r="EX252" s="124"/>
      <c r="EY252" s="124"/>
      <c r="EZ252" s="124"/>
      <c r="FA252" s="124"/>
      <c r="FB252" s="124"/>
      <c r="FC252" s="124"/>
      <c r="FD252" s="124"/>
      <c r="FE252" s="124"/>
      <c r="FF252" s="124"/>
      <c r="FG252" s="124"/>
      <c r="FH252" s="124"/>
      <c r="FI252" s="124"/>
      <c r="FJ252" s="124"/>
      <c r="FK252" s="124"/>
      <c r="FL252" s="124"/>
      <c r="FM252" s="124"/>
      <c r="FN252" s="124"/>
      <c r="FO252" s="124"/>
      <c r="FP252" s="124"/>
      <c r="FQ252" s="124"/>
      <c r="FR252" s="124"/>
      <c r="FS252" s="124"/>
      <c r="FT252" s="124"/>
      <c r="FU252" s="124"/>
      <c r="FV252" s="124"/>
      <c r="FW252" s="124"/>
      <c r="FX252" s="124"/>
      <c r="FY252" s="124"/>
      <c r="FZ252" s="124"/>
      <c r="GA252" s="124"/>
      <c r="GB252" s="124"/>
      <c r="GC252" s="124"/>
      <c r="GD252" s="124"/>
      <c r="GE252" s="124"/>
      <c r="GF252" s="124"/>
      <c r="GG252" s="124"/>
      <c r="GH252" s="124"/>
      <c r="GI252" s="124"/>
      <c r="GJ252" s="124"/>
      <c r="GK252" s="124"/>
      <c r="GL252" s="124"/>
      <c r="GM252" s="124"/>
      <c r="GN252" s="124"/>
      <c r="GO252" s="124"/>
      <c r="GP252" s="124"/>
      <c r="GQ252" s="124"/>
      <c r="GR252" s="124"/>
      <c r="GS252" s="124"/>
      <c r="GT252" s="124"/>
      <c r="GU252" s="124"/>
      <c r="GV252" s="124"/>
      <c r="GW252" s="124"/>
      <c r="GX252" s="124"/>
      <c r="GY252" s="124"/>
      <c r="GZ252" s="124"/>
      <c r="HA252" s="124"/>
      <c r="HB252" s="124"/>
      <c r="HC252" s="124"/>
      <c r="HD252" s="124"/>
      <c r="HE252" s="124"/>
      <c r="HF252" s="124"/>
      <c r="HG252" s="124"/>
      <c r="HH252" s="124"/>
      <c r="HI252" s="124"/>
      <c r="HJ252" s="124"/>
      <c r="HK252" s="124"/>
      <c r="HL252" s="124"/>
      <c r="HM252" s="124"/>
      <c r="HN252" s="124"/>
      <c r="HO252" s="124"/>
      <c r="HP252" s="124"/>
      <c r="HQ252" s="124"/>
      <c r="HR252" s="124"/>
      <c r="HS252" s="124"/>
      <c r="HT252" s="124"/>
      <c r="HU252" s="124"/>
      <c r="HV252" s="124"/>
      <c r="HW252" s="124"/>
      <c r="HX252" s="124"/>
      <c r="HY252" s="124"/>
      <c r="HZ252" s="124"/>
      <c r="IA252" s="124"/>
      <c r="IB252" s="124"/>
      <c r="IC252" s="124"/>
      <c r="ID252" s="124"/>
      <c r="IE252" s="124"/>
      <c r="IF252" s="124"/>
      <c r="IG252" s="124"/>
      <c r="IH252" s="124"/>
      <c r="II252" s="124"/>
      <c r="IJ252" s="124"/>
    </row>
    <row r="253" spans="1:244" ht="24" customHeight="1">
      <c r="A253" s="195"/>
      <c r="B253" s="197"/>
      <c r="C253" s="195"/>
      <c r="D253" s="196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200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  <c r="BO253" s="124"/>
      <c r="BP253" s="124"/>
      <c r="BQ253" s="124"/>
      <c r="BR253" s="124"/>
      <c r="BS253" s="124"/>
      <c r="BT253" s="124"/>
      <c r="BU253" s="124"/>
      <c r="BV253" s="124"/>
      <c r="BW253" s="124"/>
      <c r="BX253" s="124"/>
      <c r="BY253" s="124"/>
      <c r="BZ253" s="124"/>
      <c r="CA253" s="124"/>
      <c r="CB253" s="124"/>
      <c r="CC253" s="124"/>
      <c r="CD253" s="124"/>
      <c r="CE253" s="124"/>
      <c r="CF253" s="124"/>
      <c r="CG253" s="124"/>
      <c r="CH253" s="124"/>
      <c r="CI253" s="124"/>
      <c r="CJ253" s="124"/>
      <c r="CK253" s="124"/>
      <c r="CL253" s="124"/>
      <c r="CM253" s="124"/>
      <c r="CN253" s="124"/>
      <c r="CO253" s="124"/>
      <c r="CP253" s="124"/>
      <c r="CQ253" s="124"/>
      <c r="CR253" s="124"/>
      <c r="CS253" s="124"/>
      <c r="CT253" s="124"/>
      <c r="CU253" s="124"/>
      <c r="CV253" s="124"/>
      <c r="CW253" s="124"/>
      <c r="CX253" s="124"/>
      <c r="CY253" s="124"/>
      <c r="CZ253" s="124"/>
      <c r="DA253" s="124"/>
      <c r="DB253" s="124"/>
      <c r="DC253" s="124"/>
      <c r="DD253" s="124"/>
      <c r="DE253" s="124"/>
      <c r="DF253" s="124"/>
      <c r="DG253" s="124"/>
      <c r="DH253" s="124"/>
      <c r="DI253" s="124"/>
      <c r="DJ253" s="124"/>
      <c r="DK253" s="124"/>
      <c r="DL253" s="124"/>
      <c r="DM253" s="124"/>
      <c r="DN253" s="124"/>
      <c r="DO253" s="124"/>
      <c r="DP253" s="124"/>
      <c r="DQ253" s="124"/>
      <c r="DR253" s="124"/>
      <c r="DS253" s="124"/>
      <c r="DT253" s="124"/>
      <c r="DU253" s="124"/>
      <c r="DV253" s="124"/>
      <c r="DW253" s="124"/>
      <c r="DX253" s="124"/>
      <c r="DY253" s="124"/>
      <c r="DZ253" s="124"/>
      <c r="EA253" s="124"/>
      <c r="EB253" s="124"/>
      <c r="EC253" s="124"/>
      <c r="ED253" s="124"/>
      <c r="EE253" s="124"/>
      <c r="EF253" s="124"/>
      <c r="EG253" s="124"/>
      <c r="EH253" s="124"/>
      <c r="EI253" s="124"/>
      <c r="EJ253" s="124"/>
      <c r="EK253" s="124"/>
      <c r="EL253" s="124"/>
      <c r="EM253" s="124"/>
      <c r="EN253" s="124"/>
      <c r="EO253" s="124"/>
      <c r="EP253" s="124"/>
      <c r="EQ253" s="124"/>
      <c r="ER253" s="124"/>
      <c r="ES253" s="124"/>
      <c r="ET253" s="124"/>
      <c r="EU253" s="124"/>
      <c r="EV253" s="124"/>
      <c r="EW253" s="124"/>
      <c r="EX253" s="124"/>
      <c r="EY253" s="124"/>
      <c r="EZ253" s="124"/>
      <c r="FA253" s="124"/>
      <c r="FB253" s="124"/>
      <c r="FC253" s="124"/>
      <c r="FD253" s="124"/>
      <c r="FE253" s="124"/>
      <c r="FF253" s="124"/>
      <c r="FG253" s="124"/>
      <c r="FH253" s="124"/>
      <c r="FI253" s="124"/>
      <c r="FJ253" s="124"/>
      <c r="FK253" s="124"/>
      <c r="FL253" s="124"/>
      <c r="FM253" s="124"/>
      <c r="FN253" s="124"/>
      <c r="FO253" s="124"/>
      <c r="FP253" s="124"/>
      <c r="FQ253" s="124"/>
      <c r="FR253" s="124"/>
      <c r="FS253" s="124"/>
      <c r="FT253" s="124"/>
      <c r="FU253" s="124"/>
      <c r="FV253" s="124"/>
      <c r="FW253" s="124"/>
      <c r="FX253" s="124"/>
      <c r="FY253" s="124"/>
      <c r="FZ253" s="124"/>
      <c r="GA253" s="124"/>
      <c r="GB253" s="124"/>
      <c r="GC253" s="124"/>
      <c r="GD253" s="124"/>
      <c r="GE253" s="124"/>
      <c r="GF253" s="124"/>
      <c r="GG253" s="124"/>
      <c r="GH253" s="124"/>
      <c r="GI253" s="124"/>
      <c r="GJ253" s="124"/>
      <c r="GK253" s="124"/>
      <c r="GL253" s="124"/>
      <c r="GM253" s="124"/>
      <c r="GN253" s="124"/>
      <c r="GO253" s="124"/>
      <c r="GP253" s="124"/>
      <c r="GQ253" s="124"/>
      <c r="GR253" s="124"/>
      <c r="GS253" s="124"/>
      <c r="GT253" s="124"/>
      <c r="GU253" s="124"/>
      <c r="GV253" s="124"/>
      <c r="GW253" s="124"/>
      <c r="GX253" s="124"/>
      <c r="GY253" s="124"/>
      <c r="GZ253" s="124"/>
      <c r="HA253" s="124"/>
      <c r="HB253" s="124"/>
      <c r="HC253" s="124"/>
      <c r="HD253" s="124"/>
      <c r="HE253" s="124"/>
      <c r="HF253" s="124"/>
      <c r="HG253" s="124"/>
      <c r="HH253" s="124"/>
      <c r="HI253" s="124"/>
      <c r="HJ253" s="124"/>
      <c r="HK253" s="124"/>
      <c r="HL253" s="124"/>
      <c r="HM253" s="124"/>
      <c r="HN253" s="124"/>
      <c r="HO253" s="124"/>
      <c r="HP253" s="124"/>
      <c r="HQ253" s="124"/>
      <c r="HR253" s="124"/>
      <c r="HS253" s="124"/>
      <c r="HT253" s="124"/>
      <c r="HU253" s="124"/>
      <c r="HV253" s="124"/>
      <c r="HW253" s="124"/>
      <c r="HX253" s="124"/>
      <c r="HY253" s="124"/>
      <c r="HZ253" s="124"/>
      <c r="IA253" s="124"/>
      <c r="IB253" s="124"/>
      <c r="IC253" s="124"/>
      <c r="ID253" s="124"/>
      <c r="IE253" s="124"/>
      <c r="IF253" s="124"/>
      <c r="IG253" s="124"/>
      <c r="IH253" s="124"/>
      <c r="II253" s="124"/>
      <c r="IJ253" s="124"/>
    </row>
    <row r="254" spans="1:244" ht="24" customHeight="1">
      <c r="A254" s="195"/>
      <c r="B254" s="197"/>
      <c r="C254" s="195"/>
      <c r="D254" s="196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200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  <c r="BO254" s="124"/>
      <c r="BP254" s="124"/>
      <c r="BQ254" s="124"/>
      <c r="BR254" s="124"/>
      <c r="BS254" s="124"/>
      <c r="BT254" s="124"/>
      <c r="BU254" s="124"/>
      <c r="BV254" s="124"/>
      <c r="BW254" s="124"/>
      <c r="BX254" s="124"/>
      <c r="BY254" s="124"/>
      <c r="BZ254" s="124"/>
      <c r="CA254" s="124"/>
      <c r="CB254" s="124"/>
      <c r="CC254" s="124"/>
      <c r="CD254" s="124"/>
      <c r="CE254" s="124"/>
      <c r="CF254" s="124"/>
      <c r="CG254" s="124"/>
      <c r="CH254" s="124"/>
      <c r="CI254" s="124"/>
      <c r="CJ254" s="124"/>
      <c r="CK254" s="124"/>
      <c r="CL254" s="124"/>
      <c r="CM254" s="124"/>
      <c r="CN254" s="124"/>
      <c r="CO254" s="124"/>
      <c r="CP254" s="124"/>
      <c r="CQ254" s="124"/>
      <c r="CR254" s="124"/>
      <c r="CS254" s="124"/>
      <c r="CT254" s="124"/>
      <c r="CU254" s="124"/>
      <c r="CV254" s="124"/>
      <c r="CW254" s="124"/>
      <c r="CX254" s="124"/>
      <c r="CY254" s="124"/>
      <c r="CZ254" s="124"/>
      <c r="DA254" s="124"/>
      <c r="DB254" s="124"/>
      <c r="DC254" s="124"/>
      <c r="DD254" s="124"/>
      <c r="DE254" s="124"/>
      <c r="DF254" s="124"/>
      <c r="DG254" s="124"/>
      <c r="DH254" s="124"/>
      <c r="DI254" s="124"/>
      <c r="DJ254" s="124"/>
      <c r="DK254" s="124"/>
      <c r="DL254" s="124"/>
      <c r="DM254" s="124"/>
      <c r="DN254" s="124"/>
      <c r="DO254" s="124"/>
      <c r="DP254" s="124"/>
      <c r="DQ254" s="124"/>
      <c r="DR254" s="124"/>
      <c r="DS254" s="124"/>
      <c r="DT254" s="124"/>
      <c r="DU254" s="124"/>
      <c r="DV254" s="124"/>
      <c r="DW254" s="124"/>
      <c r="DX254" s="124"/>
      <c r="DY254" s="124"/>
      <c r="DZ254" s="124"/>
      <c r="EA254" s="124"/>
      <c r="EB254" s="124"/>
      <c r="EC254" s="124"/>
      <c r="ED254" s="124"/>
      <c r="EE254" s="124"/>
      <c r="EF254" s="124"/>
      <c r="EG254" s="124"/>
      <c r="EH254" s="124"/>
      <c r="EI254" s="124"/>
      <c r="EJ254" s="124"/>
      <c r="EK254" s="124"/>
      <c r="EL254" s="124"/>
      <c r="EM254" s="124"/>
      <c r="EN254" s="124"/>
      <c r="EO254" s="124"/>
      <c r="EP254" s="124"/>
      <c r="EQ254" s="124"/>
      <c r="ER254" s="124"/>
      <c r="ES254" s="124"/>
      <c r="ET254" s="124"/>
      <c r="EU254" s="124"/>
      <c r="EV254" s="124"/>
      <c r="EW254" s="124"/>
      <c r="EX254" s="124"/>
      <c r="EY254" s="124"/>
      <c r="EZ254" s="124"/>
      <c r="FA254" s="124"/>
      <c r="FB254" s="124"/>
      <c r="FC254" s="124"/>
      <c r="FD254" s="124"/>
      <c r="FE254" s="124"/>
      <c r="FF254" s="124"/>
      <c r="FG254" s="124"/>
      <c r="FH254" s="124"/>
      <c r="FI254" s="124"/>
      <c r="FJ254" s="124"/>
      <c r="FK254" s="124"/>
      <c r="FL254" s="124"/>
      <c r="FM254" s="124"/>
      <c r="FN254" s="124"/>
      <c r="FO254" s="124"/>
      <c r="FP254" s="124"/>
      <c r="FQ254" s="124"/>
      <c r="FR254" s="124"/>
      <c r="FS254" s="124"/>
      <c r="FT254" s="124"/>
      <c r="FU254" s="124"/>
      <c r="FV254" s="124"/>
      <c r="FW254" s="124"/>
      <c r="FX254" s="124"/>
      <c r="FY254" s="124"/>
      <c r="FZ254" s="124"/>
      <c r="GA254" s="124"/>
      <c r="GB254" s="124"/>
      <c r="GC254" s="124"/>
      <c r="GD254" s="124"/>
      <c r="GE254" s="124"/>
      <c r="GF254" s="124"/>
      <c r="GG254" s="124"/>
      <c r="GH254" s="124"/>
      <c r="GI254" s="124"/>
      <c r="GJ254" s="124"/>
      <c r="GK254" s="124"/>
      <c r="GL254" s="124"/>
      <c r="GM254" s="124"/>
      <c r="GN254" s="124"/>
      <c r="GO254" s="124"/>
      <c r="GP254" s="124"/>
      <c r="GQ254" s="124"/>
      <c r="GR254" s="124"/>
      <c r="GS254" s="124"/>
      <c r="GT254" s="124"/>
      <c r="GU254" s="124"/>
      <c r="GV254" s="124"/>
      <c r="GW254" s="124"/>
      <c r="GX254" s="124"/>
      <c r="GY254" s="124"/>
      <c r="GZ254" s="124"/>
      <c r="HA254" s="124"/>
      <c r="HB254" s="124"/>
      <c r="HC254" s="124"/>
      <c r="HD254" s="124"/>
      <c r="HE254" s="124"/>
      <c r="HF254" s="124"/>
      <c r="HG254" s="124"/>
      <c r="HH254" s="124"/>
      <c r="HI254" s="124"/>
      <c r="HJ254" s="124"/>
      <c r="HK254" s="124"/>
      <c r="HL254" s="124"/>
      <c r="HM254" s="124"/>
      <c r="HN254" s="124"/>
      <c r="HO254" s="124"/>
      <c r="HP254" s="124"/>
      <c r="HQ254" s="124"/>
      <c r="HR254" s="124"/>
      <c r="HS254" s="124"/>
      <c r="HT254" s="124"/>
      <c r="HU254" s="124"/>
      <c r="HV254" s="124"/>
      <c r="HW254" s="124"/>
      <c r="HX254" s="124"/>
      <c r="HY254" s="124"/>
      <c r="HZ254" s="124"/>
      <c r="IA254" s="124"/>
      <c r="IB254" s="124"/>
      <c r="IC254" s="124"/>
      <c r="ID254" s="124"/>
      <c r="IE254" s="124"/>
      <c r="IF254" s="124"/>
      <c r="IG254" s="124"/>
      <c r="IH254" s="124"/>
      <c r="II254" s="124"/>
      <c r="IJ254" s="124"/>
    </row>
    <row r="255" spans="1:244" ht="24" customHeight="1">
      <c r="A255" s="195"/>
      <c r="B255" s="197"/>
      <c r="C255" s="195"/>
      <c r="D255" s="196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200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  <c r="BO255" s="124"/>
      <c r="BP255" s="124"/>
      <c r="BQ255" s="124"/>
      <c r="BR255" s="124"/>
      <c r="BS255" s="124"/>
      <c r="BT255" s="124"/>
      <c r="BU255" s="124"/>
      <c r="BV255" s="124"/>
      <c r="BW255" s="124"/>
      <c r="BX255" s="124"/>
      <c r="BY255" s="124"/>
      <c r="BZ255" s="124"/>
      <c r="CA255" s="124"/>
      <c r="CB255" s="124"/>
      <c r="CC255" s="124"/>
      <c r="CD255" s="124"/>
      <c r="CE255" s="124"/>
      <c r="CF255" s="124"/>
      <c r="CG255" s="124"/>
      <c r="CH255" s="124"/>
      <c r="CI255" s="124"/>
      <c r="CJ255" s="124"/>
      <c r="CK255" s="124"/>
      <c r="CL255" s="124"/>
      <c r="CM255" s="124"/>
      <c r="CN255" s="124"/>
      <c r="CO255" s="124"/>
      <c r="CP255" s="124"/>
      <c r="CQ255" s="124"/>
      <c r="CR255" s="124"/>
      <c r="CS255" s="124"/>
      <c r="CT255" s="124"/>
      <c r="CU255" s="124"/>
      <c r="CV255" s="124"/>
      <c r="CW255" s="124"/>
      <c r="CX255" s="124"/>
      <c r="CY255" s="124"/>
      <c r="CZ255" s="124"/>
      <c r="DA255" s="124"/>
      <c r="DB255" s="124"/>
      <c r="DC255" s="124"/>
      <c r="DD255" s="124"/>
      <c r="DE255" s="124"/>
      <c r="DF255" s="124"/>
      <c r="DG255" s="124"/>
      <c r="DH255" s="124"/>
      <c r="DI255" s="124"/>
      <c r="DJ255" s="124"/>
      <c r="DK255" s="124"/>
      <c r="DL255" s="124"/>
      <c r="DM255" s="124"/>
      <c r="DN255" s="124"/>
      <c r="DO255" s="124"/>
      <c r="DP255" s="124"/>
      <c r="DQ255" s="124"/>
      <c r="DR255" s="124"/>
      <c r="DS255" s="124"/>
      <c r="DT255" s="124"/>
      <c r="DU255" s="124"/>
      <c r="DV255" s="124"/>
      <c r="DW255" s="124"/>
      <c r="DX255" s="124"/>
      <c r="DY255" s="124"/>
      <c r="DZ255" s="124"/>
      <c r="EA255" s="124"/>
      <c r="EB255" s="124"/>
      <c r="EC255" s="124"/>
      <c r="ED255" s="124"/>
      <c r="EE255" s="124"/>
      <c r="EF255" s="124"/>
      <c r="EG255" s="124"/>
      <c r="EH255" s="124"/>
      <c r="EI255" s="124"/>
      <c r="EJ255" s="124"/>
      <c r="EK255" s="124"/>
      <c r="EL255" s="124"/>
      <c r="EM255" s="124"/>
      <c r="EN255" s="124"/>
      <c r="EO255" s="124"/>
      <c r="EP255" s="124"/>
      <c r="EQ255" s="124"/>
      <c r="ER255" s="124"/>
      <c r="ES255" s="124"/>
      <c r="ET255" s="124"/>
      <c r="EU255" s="124"/>
      <c r="EV255" s="124"/>
      <c r="EW255" s="124"/>
      <c r="EX255" s="124"/>
      <c r="EY255" s="124"/>
      <c r="EZ255" s="124"/>
      <c r="FA255" s="124"/>
      <c r="FB255" s="124"/>
      <c r="FC255" s="124"/>
      <c r="FD255" s="124"/>
      <c r="FE255" s="124"/>
      <c r="FF255" s="124"/>
      <c r="FG255" s="124"/>
      <c r="FH255" s="124"/>
      <c r="FI255" s="124"/>
      <c r="FJ255" s="124"/>
      <c r="FK255" s="124"/>
      <c r="FL255" s="124"/>
      <c r="FM255" s="124"/>
      <c r="FN255" s="124"/>
      <c r="FO255" s="124"/>
      <c r="FP255" s="124"/>
      <c r="FQ255" s="124"/>
      <c r="FR255" s="124"/>
      <c r="FS255" s="124"/>
      <c r="FT255" s="124"/>
      <c r="FU255" s="124"/>
      <c r="FV255" s="124"/>
      <c r="FW255" s="124"/>
      <c r="FX255" s="124"/>
      <c r="FY255" s="124"/>
      <c r="FZ255" s="124"/>
      <c r="GA255" s="124"/>
      <c r="GB255" s="124"/>
      <c r="GC255" s="124"/>
      <c r="GD255" s="124"/>
      <c r="GE255" s="124"/>
      <c r="GF255" s="124"/>
      <c r="GG255" s="124"/>
      <c r="GH255" s="124"/>
      <c r="GI255" s="124"/>
      <c r="GJ255" s="124"/>
      <c r="GK255" s="124"/>
      <c r="GL255" s="124"/>
      <c r="GM255" s="124"/>
      <c r="GN255" s="124"/>
      <c r="GO255" s="124"/>
      <c r="GP255" s="124"/>
      <c r="GQ255" s="124"/>
      <c r="GR255" s="124"/>
      <c r="GS255" s="124"/>
      <c r="GT255" s="124"/>
      <c r="GU255" s="124"/>
      <c r="GV255" s="124"/>
      <c r="GW255" s="124"/>
      <c r="GX255" s="124"/>
      <c r="GY255" s="124"/>
      <c r="GZ255" s="124"/>
      <c r="HA255" s="124"/>
      <c r="HB255" s="124"/>
      <c r="HC255" s="124"/>
      <c r="HD255" s="124"/>
      <c r="HE255" s="124"/>
      <c r="HF255" s="124"/>
      <c r="HG255" s="124"/>
      <c r="HH255" s="124"/>
      <c r="HI255" s="124"/>
      <c r="HJ255" s="124"/>
      <c r="HK255" s="124"/>
      <c r="HL255" s="124"/>
      <c r="HM255" s="124"/>
      <c r="HN255" s="124"/>
      <c r="HO255" s="124"/>
      <c r="HP255" s="124"/>
      <c r="HQ255" s="124"/>
      <c r="HR255" s="124"/>
      <c r="HS255" s="124"/>
      <c r="HT255" s="124"/>
      <c r="HU255" s="124"/>
      <c r="HV255" s="124"/>
      <c r="HW255" s="124"/>
      <c r="HX255" s="124"/>
      <c r="HY255" s="124"/>
      <c r="HZ255" s="124"/>
      <c r="IA255" s="124"/>
      <c r="IB255" s="124"/>
      <c r="IC255" s="124"/>
      <c r="ID255" s="124"/>
      <c r="IE255" s="124"/>
      <c r="IF255" s="124"/>
      <c r="IG255" s="124"/>
      <c r="IH255" s="124"/>
      <c r="II255" s="124"/>
      <c r="IJ255" s="124"/>
    </row>
    <row r="256" spans="1:244" ht="24" customHeight="1">
      <c r="A256" s="195"/>
      <c r="B256" s="197"/>
      <c r="C256" s="195"/>
      <c r="D256" s="196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200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  <c r="BO256" s="124"/>
      <c r="BP256" s="124"/>
      <c r="BQ256" s="124"/>
      <c r="BR256" s="124"/>
      <c r="BS256" s="124"/>
      <c r="BT256" s="124"/>
      <c r="BU256" s="124"/>
      <c r="BV256" s="124"/>
      <c r="BW256" s="124"/>
      <c r="BX256" s="124"/>
      <c r="BY256" s="124"/>
      <c r="BZ256" s="124"/>
      <c r="CA256" s="124"/>
      <c r="CB256" s="124"/>
      <c r="CC256" s="124"/>
      <c r="CD256" s="124"/>
      <c r="CE256" s="124"/>
      <c r="CF256" s="124"/>
      <c r="CG256" s="124"/>
      <c r="CH256" s="124"/>
      <c r="CI256" s="124"/>
      <c r="CJ256" s="124"/>
      <c r="CK256" s="124"/>
      <c r="CL256" s="124"/>
      <c r="CM256" s="124"/>
      <c r="CN256" s="124"/>
      <c r="CO256" s="124"/>
      <c r="CP256" s="124"/>
      <c r="CQ256" s="124"/>
      <c r="CR256" s="124"/>
      <c r="CS256" s="124"/>
      <c r="CT256" s="124"/>
      <c r="CU256" s="124"/>
      <c r="CV256" s="124"/>
      <c r="CW256" s="124"/>
      <c r="CX256" s="124"/>
      <c r="CY256" s="124"/>
      <c r="CZ256" s="124"/>
      <c r="DA256" s="124"/>
      <c r="DB256" s="124"/>
      <c r="DC256" s="124"/>
      <c r="DD256" s="124"/>
      <c r="DE256" s="124"/>
      <c r="DF256" s="124"/>
      <c r="DG256" s="124"/>
      <c r="DH256" s="124"/>
      <c r="DI256" s="124"/>
      <c r="DJ256" s="124"/>
      <c r="DK256" s="124"/>
      <c r="DL256" s="124"/>
      <c r="DM256" s="124"/>
      <c r="DN256" s="124"/>
      <c r="DO256" s="124"/>
      <c r="DP256" s="124"/>
      <c r="DQ256" s="124"/>
      <c r="DR256" s="124"/>
      <c r="DS256" s="124"/>
      <c r="DT256" s="124"/>
      <c r="DU256" s="124"/>
      <c r="DV256" s="124"/>
      <c r="DW256" s="124"/>
      <c r="DX256" s="124"/>
      <c r="DY256" s="124"/>
      <c r="DZ256" s="124"/>
      <c r="EA256" s="124"/>
      <c r="EB256" s="124"/>
      <c r="EC256" s="124"/>
      <c r="ED256" s="124"/>
      <c r="EE256" s="124"/>
      <c r="EF256" s="124"/>
      <c r="EG256" s="124"/>
      <c r="EH256" s="124"/>
      <c r="EI256" s="124"/>
      <c r="EJ256" s="124"/>
      <c r="EK256" s="124"/>
      <c r="EL256" s="124"/>
      <c r="EM256" s="124"/>
      <c r="EN256" s="124"/>
      <c r="EO256" s="124"/>
      <c r="EP256" s="124"/>
      <c r="EQ256" s="124"/>
      <c r="ER256" s="124"/>
      <c r="ES256" s="124"/>
      <c r="ET256" s="124"/>
      <c r="EU256" s="124"/>
      <c r="EV256" s="124"/>
      <c r="EW256" s="124"/>
      <c r="EX256" s="124"/>
      <c r="EY256" s="124"/>
      <c r="EZ256" s="124"/>
      <c r="FA256" s="124"/>
      <c r="FB256" s="124"/>
      <c r="FC256" s="124"/>
      <c r="FD256" s="124"/>
      <c r="FE256" s="124"/>
      <c r="FF256" s="124"/>
      <c r="FG256" s="124"/>
      <c r="FH256" s="124"/>
      <c r="FI256" s="124"/>
      <c r="FJ256" s="124"/>
      <c r="FK256" s="124"/>
      <c r="FL256" s="124"/>
      <c r="FM256" s="124"/>
      <c r="FN256" s="124"/>
      <c r="FO256" s="124"/>
      <c r="FP256" s="124"/>
      <c r="FQ256" s="124"/>
      <c r="FR256" s="124"/>
      <c r="FS256" s="124"/>
      <c r="FT256" s="124"/>
      <c r="FU256" s="124"/>
      <c r="FV256" s="124"/>
      <c r="FW256" s="124"/>
      <c r="FX256" s="124"/>
      <c r="FY256" s="124"/>
      <c r="FZ256" s="124"/>
      <c r="GA256" s="124"/>
      <c r="GB256" s="124"/>
      <c r="GC256" s="124"/>
      <c r="GD256" s="124"/>
      <c r="GE256" s="124"/>
      <c r="GF256" s="124"/>
      <c r="GG256" s="124"/>
      <c r="GH256" s="124"/>
      <c r="GI256" s="124"/>
      <c r="GJ256" s="124"/>
      <c r="GK256" s="124"/>
      <c r="GL256" s="124"/>
      <c r="GM256" s="124"/>
      <c r="GN256" s="124"/>
      <c r="GO256" s="124"/>
      <c r="GP256" s="124"/>
      <c r="GQ256" s="124"/>
      <c r="GR256" s="124"/>
      <c r="GS256" s="124"/>
      <c r="GT256" s="124"/>
      <c r="GU256" s="124"/>
      <c r="GV256" s="124"/>
      <c r="GW256" s="124"/>
      <c r="GX256" s="124"/>
      <c r="GY256" s="124"/>
      <c r="GZ256" s="124"/>
      <c r="HA256" s="124"/>
      <c r="HB256" s="124"/>
      <c r="HC256" s="124"/>
      <c r="HD256" s="124"/>
      <c r="HE256" s="124"/>
      <c r="HF256" s="124"/>
      <c r="HG256" s="124"/>
      <c r="HH256" s="124"/>
      <c r="HI256" s="124"/>
      <c r="HJ256" s="124"/>
      <c r="HK256" s="124"/>
      <c r="HL256" s="124"/>
      <c r="HM256" s="124"/>
      <c r="HN256" s="124"/>
      <c r="HO256" s="124"/>
      <c r="HP256" s="124"/>
      <c r="HQ256" s="124"/>
      <c r="HR256" s="124"/>
      <c r="HS256" s="124"/>
      <c r="HT256" s="124"/>
      <c r="HU256" s="124"/>
      <c r="HV256" s="124"/>
      <c r="HW256" s="124"/>
      <c r="HX256" s="124"/>
      <c r="HY256" s="124"/>
      <c r="HZ256" s="124"/>
      <c r="IA256" s="124"/>
      <c r="IB256" s="124"/>
      <c r="IC256" s="124"/>
      <c r="ID256" s="124"/>
      <c r="IE256" s="124"/>
      <c r="IF256" s="124"/>
      <c r="IG256" s="124"/>
      <c r="IH256" s="124"/>
      <c r="II256" s="124"/>
      <c r="IJ256" s="124"/>
    </row>
    <row r="257" spans="1:244" ht="24" customHeight="1">
      <c r="A257" s="195"/>
      <c r="B257" s="197"/>
      <c r="C257" s="195"/>
      <c r="D257" s="196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200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  <c r="BO257" s="124"/>
      <c r="BP257" s="124"/>
      <c r="BQ257" s="124"/>
      <c r="BR257" s="124"/>
      <c r="BS257" s="124"/>
      <c r="BT257" s="124"/>
      <c r="BU257" s="124"/>
      <c r="BV257" s="124"/>
      <c r="BW257" s="124"/>
      <c r="BX257" s="124"/>
      <c r="BY257" s="124"/>
      <c r="BZ257" s="124"/>
      <c r="CA257" s="124"/>
      <c r="CB257" s="124"/>
      <c r="CC257" s="124"/>
      <c r="CD257" s="124"/>
      <c r="CE257" s="124"/>
      <c r="CF257" s="124"/>
      <c r="CG257" s="124"/>
      <c r="CH257" s="124"/>
      <c r="CI257" s="124"/>
      <c r="CJ257" s="124"/>
      <c r="CK257" s="124"/>
      <c r="CL257" s="124"/>
      <c r="CM257" s="124"/>
      <c r="CN257" s="124"/>
      <c r="CO257" s="124"/>
      <c r="CP257" s="124"/>
      <c r="CQ257" s="124"/>
      <c r="CR257" s="124"/>
      <c r="CS257" s="124"/>
      <c r="CT257" s="124"/>
      <c r="CU257" s="124"/>
      <c r="CV257" s="124"/>
      <c r="CW257" s="124"/>
      <c r="CX257" s="124"/>
      <c r="CY257" s="124"/>
      <c r="CZ257" s="124"/>
      <c r="DA257" s="124"/>
      <c r="DB257" s="124"/>
      <c r="DC257" s="124"/>
      <c r="DD257" s="124"/>
      <c r="DE257" s="124"/>
      <c r="DF257" s="124"/>
      <c r="DG257" s="124"/>
      <c r="DH257" s="124"/>
      <c r="DI257" s="124"/>
      <c r="DJ257" s="124"/>
      <c r="DK257" s="124"/>
      <c r="DL257" s="124"/>
      <c r="DM257" s="124"/>
      <c r="DN257" s="124"/>
      <c r="DO257" s="124"/>
      <c r="DP257" s="124"/>
      <c r="DQ257" s="124"/>
      <c r="DR257" s="124"/>
      <c r="DS257" s="124"/>
      <c r="DT257" s="124"/>
      <c r="DU257" s="124"/>
      <c r="DV257" s="124"/>
      <c r="DW257" s="124"/>
      <c r="DX257" s="124"/>
      <c r="DY257" s="124"/>
      <c r="DZ257" s="124"/>
      <c r="EA257" s="124"/>
      <c r="EB257" s="124"/>
      <c r="EC257" s="124"/>
      <c r="ED257" s="124"/>
      <c r="EE257" s="124"/>
      <c r="EF257" s="124"/>
      <c r="EG257" s="124"/>
      <c r="EH257" s="124"/>
      <c r="EI257" s="124"/>
      <c r="EJ257" s="124"/>
      <c r="EK257" s="124"/>
      <c r="EL257" s="124"/>
      <c r="EM257" s="124"/>
      <c r="EN257" s="124"/>
      <c r="EO257" s="124"/>
      <c r="EP257" s="124"/>
      <c r="EQ257" s="124"/>
      <c r="ER257" s="124"/>
      <c r="ES257" s="124"/>
      <c r="ET257" s="124"/>
      <c r="EU257" s="124"/>
      <c r="EV257" s="124"/>
      <c r="EW257" s="124"/>
      <c r="EX257" s="124"/>
      <c r="EY257" s="124"/>
      <c r="EZ257" s="124"/>
      <c r="FA257" s="124"/>
      <c r="FB257" s="124"/>
      <c r="FC257" s="124"/>
      <c r="FD257" s="124"/>
      <c r="FE257" s="124"/>
      <c r="FF257" s="124"/>
      <c r="FG257" s="124"/>
      <c r="FH257" s="124"/>
      <c r="FI257" s="124"/>
      <c r="FJ257" s="124"/>
      <c r="FK257" s="124"/>
      <c r="FL257" s="124"/>
      <c r="FM257" s="124"/>
      <c r="FN257" s="124"/>
      <c r="FO257" s="124"/>
      <c r="FP257" s="124"/>
      <c r="FQ257" s="124"/>
      <c r="FR257" s="124"/>
      <c r="FS257" s="124"/>
      <c r="FT257" s="124"/>
      <c r="FU257" s="124"/>
      <c r="FV257" s="124"/>
      <c r="FW257" s="124"/>
      <c r="FX257" s="124"/>
      <c r="FY257" s="124"/>
      <c r="FZ257" s="124"/>
      <c r="GA257" s="124"/>
      <c r="GB257" s="124"/>
      <c r="GC257" s="124"/>
      <c r="GD257" s="124"/>
      <c r="GE257" s="124"/>
      <c r="GF257" s="124"/>
      <c r="GG257" s="124"/>
      <c r="GH257" s="124"/>
      <c r="GI257" s="124"/>
      <c r="GJ257" s="124"/>
      <c r="GK257" s="124"/>
      <c r="GL257" s="124"/>
      <c r="GM257" s="124"/>
      <c r="GN257" s="124"/>
      <c r="GO257" s="124"/>
      <c r="GP257" s="124"/>
      <c r="GQ257" s="124"/>
      <c r="GR257" s="124"/>
      <c r="GS257" s="124"/>
      <c r="GT257" s="124"/>
      <c r="GU257" s="124"/>
      <c r="GV257" s="124"/>
      <c r="GW257" s="124"/>
      <c r="GX257" s="124"/>
      <c r="GY257" s="124"/>
      <c r="GZ257" s="124"/>
      <c r="HA257" s="124"/>
      <c r="HB257" s="124"/>
      <c r="HC257" s="124"/>
      <c r="HD257" s="124"/>
      <c r="HE257" s="124"/>
      <c r="HF257" s="124"/>
      <c r="HG257" s="124"/>
      <c r="HH257" s="124"/>
      <c r="HI257" s="124"/>
      <c r="HJ257" s="124"/>
      <c r="HK257" s="124"/>
      <c r="HL257" s="124"/>
      <c r="HM257" s="124"/>
      <c r="HN257" s="124"/>
      <c r="HO257" s="124"/>
      <c r="HP257" s="124"/>
      <c r="HQ257" s="124"/>
      <c r="HR257" s="124"/>
      <c r="HS257" s="124"/>
      <c r="HT257" s="124"/>
      <c r="HU257" s="124"/>
      <c r="HV257" s="124"/>
      <c r="HW257" s="124"/>
      <c r="HX257" s="124"/>
      <c r="HY257" s="124"/>
      <c r="HZ257" s="124"/>
      <c r="IA257" s="124"/>
      <c r="IB257" s="124"/>
      <c r="IC257" s="124"/>
      <c r="ID257" s="124"/>
      <c r="IE257" s="124"/>
      <c r="IF257" s="124"/>
      <c r="IG257" s="124"/>
      <c r="IH257" s="124"/>
      <c r="II257" s="124"/>
      <c r="IJ257" s="124"/>
    </row>
    <row r="258" spans="1:244" ht="24" customHeight="1">
      <c r="A258" s="195"/>
      <c r="B258" s="197"/>
      <c r="C258" s="195"/>
      <c r="D258" s="196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200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  <c r="BO258" s="124"/>
      <c r="BP258" s="124"/>
      <c r="BQ258" s="124"/>
      <c r="BR258" s="124"/>
      <c r="BS258" s="124"/>
      <c r="BT258" s="124"/>
      <c r="BU258" s="124"/>
      <c r="BV258" s="124"/>
      <c r="BW258" s="124"/>
      <c r="BX258" s="124"/>
      <c r="BY258" s="124"/>
      <c r="BZ258" s="124"/>
      <c r="CA258" s="124"/>
      <c r="CB258" s="124"/>
      <c r="CC258" s="124"/>
      <c r="CD258" s="124"/>
      <c r="CE258" s="124"/>
      <c r="CF258" s="124"/>
      <c r="CG258" s="124"/>
      <c r="CH258" s="124"/>
      <c r="CI258" s="124"/>
      <c r="CJ258" s="124"/>
      <c r="CK258" s="124"/>
      <c r="CL258" s="124"/>
      <c r="CM258" s="124"/>
      <c r="CN258" s="124"/>
      <c r="CO258" s="124"/>
      <c r="CP258" s="124"/>
      <c r="CQ258" s="124"/>
      <c r="CR258" s="124"/>
      <c r="CS258" s="124"/>
      <c r="CT258" s="124"/>
      <c r="CU258" s="124"/>
      <c r="CV258" s="124"/>
      <c r="CW258" s="124"/>
      <c r="CX258" s="124"/>
      <c r="CY258" s="124"/>
      <c r="CZ258" s="124"/>
      <c r="DA258" s="124"/>
      <c r="DB258" s="124"/>
      <c r="DC258" s="124"/>
      <c r="DD258" s="124"/>
      <c r="DE258" s="124"/>
      <c r="DF258" s="124"/>
      <c r="DG258" s="124"/>
      <c r="DH258" s="124"/>
      <c r="DI258" s="124"/>
      <c r="DJ258" s="124"/>
      <c r="DK258" s="124"/>
      <c r="DL258" s="124"/>
      <c r="DM258" s="124"/>
      <c r="DN258" s="124"/>
      <c r="DO258" s="124"/>
      <c r="DP258" s="124"/>
      <c r="DQ258" s="124"/>
      <c r="DR258" s="124"/>
      <c r="DS258" s="124"/>
      <c r="DT258" s="124"/>
      <c r="DU258" s="124"/>
      <c r="DV258" s="124"/>
      <c r="DW258" s="124"/>
      <c r="DX258" s="124"/>
      <c r="DY258" s="124"/>
      <c r="DZ258" s="124"/>
      <c r="EA258" s="124"/>
      <c r="EB258" s="124"/>
      <c r="EC258" s="124"/>
      <c r="ED258" s="124"/>
      <c r="EE258" s="124"/>
      <c r="EF258" s="124"/>
      <c r="EG258" s="124"/>
      <c r="EH258" s="124"/>
      <c r="EI258" s="124"/>
      <c r="EJ258" s="124"/>
      <c r="EK258" s="124"/>
      <c r="EL258" s="124"/>
      <c r="EM258" s="124"/>
      <c r="EN258" s="124"/>
      <c r="EO258" s="124"/>
      <c r="EP258" s="124"/>
      <c r="EQ258" s="124"/>
      <c r="ER258" s="124"/>
      <c r="ES258" s="124"/>
      <c r="ET258" s="124"/>
      <c r="EU258" s="124"/>
      <c r="EV258" s="124"/>
      <c r="EW258" s="124"/>
      <c r="EX258" s="124"/>
      <c r="EY258" s="124"/>
      <c r="EZ258" s="124"/>
      <c r="FA258" s="124"/>
      <c r="FB258" s="124"/>
      <c r="FC258" s="124"/>
      <c r="FD258" s="124"/>
      <c r="FE258" s="124"/>
      <c r="FF258" s="124"/>
      <c r="FG258" s="124"/>
      <c r="FH258" s="124"/>
      <c r="FI258" s="124"/>
      <c r="FJ258" s="124"/>
      <c r="FK258" s="124"/>
      <c r="FL258" s="124"/>
      <c r="FM258" s="124"/>
      <c r="FN258" s="124"/>
      <c r="FO258" s="124"/>
      <c r="FP258" s="124"/>
      <c r="FQ258" s="124"/>
      <c r="FR258" s="124"/>
      <c r="FS258" s="124"/>
      <c r="FT258" s="124"/>
      <c r="FU258" s="124"/>
      <c r="FV258" s="124"/>
      <c r="FW258" s="124"/>
      <c r="FX258" s="124"/>
      <c r="FY258" s="124"/>
      <c r="FZ258" s="124"/>
      <c r="GA258" s="124"/>
      <c r="GB258" s="124"/>
      <c r="GC258" s="124"/>
      <c r="GD258" s="124"/>
      <c r="GE258" s="124"/>
      <c r="GF258" s="124"/>
      <c r="GG258" s="124"/>
      <c r="GH258" s="124"/>
      <c r="GI258" s="124"/>
      <c r="GJ258" s="124"/>
      <c r="GK258" s="124"/>
      <c r="GL258" s="124"/>
      <c r="GM258" s="124"/>
      <c r="GN258" s="124"/>
      <c r="GO258" s="124"/>
      <c r="GP258" s="124"/>
      <c r="GQ258" s="124"/>
      <c r="GR258" s="124"/>
      <c r="GS258" s="124"/>
      <c r="GT258" s="124"/>
      <c r="GU258" s="124"/>
      <c r="GV258" s="124"/>
      <c r="GW258" s="124"/>
      <c r="GX258" s="124"/>
      <c r="GY258" s="124"/>
      <c r="GZ258" s="124"/>
      <c r="HA258" s="124"/>
      <c r="HB258" s="124"/>
      <c r="HC258" s="124"/>
      <c r="HD258" s="124"/>
      <c r="HE258" s="124"/>
      <c r="HF258" s="124"/>
      <c r="HG258" s="124"/>
      <c r="HH258" s="124"/>
      <c r="HI258" s="124"/>
      <c r="HJ258" s="124"/>
      <c r="HK258" s="124"/>
      <c r="HL258" s="124"/>
      <c r="HM258" s="124"/>
      <c r="HN258" s="124"/>
      <c r="HO258" s="124"/>
      <c r="HP258" s="124"/>
      <c r="HQ258" s="124"/>
      <c r="HR258" s="124"/>
      <c r="HS258" s="124"/>
      <c r="HT258" s="124"/>
      <c r="HU258" s="124"/>
      <c r="HV258" s="124"/>
      <c r="HW258" s="124"/>
      <c r="HX258" s="124"/>
      <c r="HY258" s="124"/>
      <c r="HZ258" s="124"/>
      <c r="IA258" s="124"/>
      <c r="IB258" s="124"/>
      <c r="IC258" s="124"/>
      <c r="ID258" s="124"/>
      <c r="IE258" s="124"/>
      <c r="IF258" s="124"/>
      <c r="IG258" s="124"/>
      <c r="IH258" s="124"/>
      <c r="II258" s="124"/>
      <c r="IJ258" s="124"/>
    </row>
    <row r="259" spans="1:244" ht="24" customHeight="1">
      <c r="A259" s="195"/>
      <c r="B259" s="197"/>
      <c r="C259" s="195"/>
      <c r="D259" s="196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200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  <c r="BO259" s="124"/>
      <c r="BP259" s="124"/>
      <c r="BQ259" s="124"/>
      <c r="BR259" s="124"/>
      <c r="BS259" s="124"/>
      <c r="BT259" s="124"/>
      <c r="BU259" s="124"/>
      <c r="BV259" s="124"/>
      <c r="BW259" s="124"/>
      <c r="BX259" s="124"/>
      <c r="BY259" s="124"/>
      <c r="BZ259" s="124"/>
      <c r="CA259" s="124"/>
      <c r="CB259" s="124"/>
      <c r="CC259" s="124"/>
      <c r="CD259" s="124"/>
      <c r="CE259" s="124"/>
      <c r="CF259" s="124"/>
      <c r="CG259" s="124"/>
      <c r="CH259" s="124"/>
      <c r="CI259" s="124"/>
      <c r="CJ259" s="124"/>
      <c r="CK259" s="124"/>
      <c r="CL259" s="124"/>
      <c r="CM259" s="124"/>
      <c r="CN259" s="124"/>
      <c r="CO259" s="124"/>
      <c r="CP259" s="124"/>
      <c r="CQ259" s="124"/>
      <c r="CR259" s="124"/>
      <c r="CS259" s="124"/>
      <c r="CT259" s="124"/>
      <c r="CU259" s="124"/>
      <c r="CV259" s="124"/>
      <c r="CW259" s="124"/>
      <c r="CX259" s="124"/>
      <c r="CY259" s="124"/>
      <c r="CZ259" s="124"/>
      <c r="DA259" s="124"/>
      <c r="DB259" s="124"/>
      <c r="DC259" s="124"/>
      <c r="DD259" s="124"/>
      <c r="DE259" s="124"/>
      <c r="DF259" s="124"/>
      <c r="DG259" s="124"/>
      <c r="DH259" s="124"/>
      <c r="DI259" s="124"/>
      <c r="DJ259" s="124"/>
      <c r="DK259" s="124"/>
      <c r="DL259" s="124"/>
      <c r="DM259" s="124"/>
      <c r="DN259" s="124"/>
      <c r="DO259" s="124"/>
      <c r="DP259" s="124"/>
      <c r="DQ259" s="124"/>
      <c r="DR259" s="124"/>
      <c r="DS259" s="124"/>
      <c r="DT259" s="124"/>
      <c r="DU259" s="124"/>
      <c r="DV259" s="124"/>
      <c r="DW259" s="124"/>
      <c r="DX259" s="124"/>
      <c r="DY259" s="124"/>
      <c r="DZ259" s="124"/>
      <c r="EA259" s="124"/>
      <c r="EB259" s="124"/>
      <c r="EC259" s="124"/>
      <c r="ED259" s="124"/>
      <c r="EE259" s="124"/>
      <c r="EF259" s="124"/>
      <c r="EG259" s="124"/>
      <c r="EH259" s="124"/>
      <c r="EI259" s="124"/>
      <c r="EJ259" s="124"/>
      <c r="EK259" s="124"/>
      <c r="EL259" s="124"/>
      <c r="EM259" s="124"/>
      <c r="EN259" s="124"/>
      <c r="EO259" s="124"/>
      <c r="EP259" s="124"/>
      <c r="EQ259" s="124"/>
      <c r="ER259" s="124"/>
      <c r="ES259" s="124"/>
      <c r="ET259" s="124"/>
      <c r="EU259" s="124"/>
      <c r="EV259" s="124"/>
      <c r="EW259" s="124"/>
      <c r="EX259" s="124"/>
      <c r="EY259" s="124"/>
      <c r="EZ259" s="124"/>
      <c r="FA259" s="124"/>
      <c r="FB259" s="124"/>
      <c r="FC259" s="124"/>
      <c r="FD259" s="124"/>
      <c r="FE259" s="124"/>
      <c r="FF259" s="124"/>
      <c r="FG259" s="124"/>
      <c r="FH259" s="124"/>
      <c r="FI259" s="124"/>
      <c r="FJ259" s="124"/>
      <c r="FK259" s="124"/>
      <c r="FL259" s="124"/>
      <c r="FM259" s="124"/>
      <c r="FN259" s="124"/>
      <c r="FO259" s="124"/>
      <c r="FP259" s="124"/>
      <c r="FQ259" s="124"/>
      <c r="FR259" s="124"/>
      <c r="FS259" s="124"/>
      <c r="FT259" s="124"/>
      <c r="FU259" s="124"/>
      <c r="FV259" s="124"/>
      <c r="FW259" s="124"/>
      <c r="FX259" s="124"/>
      <c r="FY259" s="124"/>
      <c r="FZ259" s="124"/>
      <c r="GA259" s="124"/>
      <c r="GB259" s="124"/>
      <c r="GC259" s="124"/>
      <c r="GD259" s="124"/>
      <c r="GE259" s="124"/>
      <c r="GF259" s="124"/>
      <c r="GG259" s="124"/>
      <c r="GH259" s="124"/>
      <c r="GI259" s="124"/>
      <c r="GJ259" s="124"/>
      <c r="GK259" s="124"/>
      <c r="GL259" s="124"/>
      <c r="GM259" s="124"/>
      <c r="GN259" s="124"/>
      <c r="GO259" s="124"/>
      <c r="GP259" s="124"/>
      <c r="GQ259" s="124"/>
      <c r="GR259" s="124"/>
      <c r="GS259" s="124"/>
      <c r="GT259" s="124"/>
      <c r="GU259" s="124"/>
      <c r="GV259" s="124"/>
      <c r="GW259" s="124"/>
      <c r="GX259" s="124"/>
      <c r="GY259" s="124"/>
      <c r="GZ259" s="124"/>
      <c r="HA259" s="124"/>
      <c r="HB259" s="124"/>
      <c r="HC259" s="124"/>
      <c r="HD259" s="124"/>
      <c r="HE259" s="124"/>
      <c r="HF259" s="124"/>
      <c r="HG259" s="124"/>
      <c r="HH259" s="124"/>
      <c r="HI259" s="124"/>
      <c r="HJ259" s="124"/>
      <c r="HK259" s="124"/>
      <c r="HL259" s="124"/>
      <c r="HM259" s="124"/>
      <c r="HN259" s="124"/>
      <c r="HO259" s="124"/>
      <c r="HP259" s="124"/>
      <c r="HQ259" s="124"/>
      <c r="HR259" s="124"/>
      <c r="HS259" s="124"/>
      <c r="HT259" s="124"/>
      <c r="HU259" s="124"/>
      <c r="HV259" s="124"/>
      <c r="HW259" s="124"/>
      <c r="HX259" s="124"/>
      <c r="HY259" s="124"/>
      <c r="HZ259" s="124"/>
      <c r="IA259" s="124"/>
      <c r="IB259" s="124"/>
      <c r="IC259" s="124"/>
      <c r="ID259" s="124"/>
      <c r="IE259" s="124"/>
      <c r="IF259" s="124"/>
      <c r="IG259" s="124"/>
      <c r="IH259" s="124"/>
      <c r="II259" s="124"/>
      <c r="IJ259" s="124"/>
    </row>
    <row r="260" spans="1:244" ht="24" customHeight="1">
      <c r="A260" s="195"/>
      <c r="B260" s="197"/>
      <c r="C260" s="195"/>
      <c r="D260" s="196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200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  <c r="BO260" s="124"/>
      <c r="BP260" s="124"/>
      <c r="BQ260" s="124"/>
      <c r="BR260" s="124"/>
      <c r="BS260" s="124"/>
      <c r="BT260" s="124"/>
      <c r="BU260" s="124"/>
      <c r="BV260" s="124"/>
      <c r="BW260" s="124"/>
      <c r="BX260" s="124"/>
      <c r="BY260" s="124"/>
      <c r="BZ260" s="124"/>
      <c r="CA260" s="124"/>
      <c r="CB260" s="124"/>
      <c r="CC260" s="124"/>
      <c r="CD260" s="124"/>
      <c r="CE260" s="124"/>
      <c r="CF260" s="124"/>
      <c r="CG260" s="124"/>
      <c r="CH260" s="124"/>
      <c r="CI260" s="124"/>
      <c r="CJ260" s="124"/>
      <c r="CK260" s="124"/>
      <c r="CL260" s="124"/>
      <c r="CM260" s="124"/>
      <c r="CN260" s="124"/>
      <c r="CO260" s="124"/>
      <c r="CP260" s="124"/>
      <c r="CQ260" s="124"/>
      <c r="CR260" s="124"/>
      <c r="CS260" s="124"/>
      <c r="CT260" s="124"/>
      <c r="CU260" s="124"/>
      <c r="CV260" s="124"/>
      <c r="CW260" s="124"/>
      <c r="CX260" s="124"/>
      <c r="CY260" s="124"/>
      <c r="CZ260" s="124"/>
      <c r="DA260" s="124"/>
      <c r="DB260" s="124"/>
      <c r="DC260" s="124"/>
      <c r="DD260" s="124"/>
      <c r="DE260" s="124"/>
      <c r="DF260" s="124"/>
      <c r="DG260" s="124"/>
      <c r="DH260" s="124"/>
      <c r="DI260" s="124"/>
      <c r="DJ260" s="124"/>
      <c r="DK260" s="124"/>
      <c r="DL260" s="124"/>
      <c r="DM260" s="124"/>
      <c r="DN260" s="124"/>
      <c r="DO260" s="124"/>
      <c r="DP260" s="124"/>
      <c r="DQ260" s="124"/>
      <c r="DR260" s="124"/>
      <c r="DS260" s="124"/>
      <c r="DT260" s="124"/>
      <c r="DU260" s="124"/>
      <c r="DV260" s="124"/>
      <c r="DW260" s="124"/>
      <c r="DX260" s="124"/>
      <c r="DY260" s="124"/>
      <c r="DZ260" s="124"/>
      <c r="EA260" s="124"/>
      <c r="EB260" s="124"/>
      <c r="EC260" s="124"/>
      <c r="ED260" s="124"/>
      <c r="EE260" s="124"/>
      <c r="EF260" s="124"/>
      <c r="EG260" s="124"/>
      <c r="EH260" s="124"/>
      <c r="EI260" s="124"/>
      <c r="EJ260" s="124"/>
      <c r="EK260" s="124"/>
      <c r="EL260" s="124"/>
      <c r="EM260" s="124"/>
      <c r="EN260" s="124"/>
      <c r="EO260" s="124"/>
      <c r="EP260" s="124"/>
      <c r="EQ260" s="124"/>
      <c r="ER260" s="124"/>
      <c r="ES260" s="124"/>
      <c r="ET260" s="124"/>
      <c r="EU260" s="124"/>
      <c r="EV260" s="124"/>
      <c r="EW260" s="124"/>
      <c r="EX260" s="124"/>
      <c r="EY260" s="124"/>
      <c r="EZ260" s="124"/>
      <c r="FA260" s="124"/>
      <c r="FB260" s="124"/>
      <c r="FC260" s="124"/>
      <c r="FD260" s="124"/>
      <c r="FE260" s="124"/>
      <c r="FF260" s="124"/>
      <c r="FG260" s="124"/>
      <c r="FH260" s="124"/>
      <c r="FI260" s="124"/>
      <c r="FJ260" s="124"/>
      <c r="FK260" s="124"/>
      <c r="FL260" s="124"/>
      <c r="FM260" s="124"/>
      <c r="FN260" s="124"/>
      <c r="FO260" s="124"/>
      <c r="FP260" s="124"/>
      <c r="FQ260" s="124"/>
      <c r="FR260" s="124"/>
      <c r="FS260" s="124"/>
      <c r="FT260" s="124"/>
      <c r="FU260" s="124"/>
      <c r="FV260" s="124"/>
      <c r="FW260" s="124"/>
      <c r="FX260" s="124"/>
      <c r="FY260" s="124"/>
      <c r="FZ260" s="124"/>
      <c r="GA260" s="124"/>
      <c r="GB260" s="124"/>
      <c r="GC260" s="124"/>
      <c r="GD260" s="124"/>
      <c r="GE260" s="124"/>
      <c r="GF260" s="124"/>
      <c r="GG260" s="124"/>
      <c r="GH260" s="124"/>
      <c r="GI260" s="124"/>
      <c r="GJ260" s="124"/>
      <c r="GK260" s="124"/>
      <c r="GL260" s="124"/>
      <c r="GM260" s="124"/>
      <c r="GN260" s="124"/>
      <c r="GO260" s="124"/>
      <c r="GP260" s="124"/>
      <c r="GQ260" s="124"/>
      <c r="GR260" s="124"/>
      <c r="GS260" s="124"/>
      <c r="GT260" s="124"/>
      <c r="GU260" s="124"/>
      <c r="GV260" s="124"/>
      <c r="GW260" s="124"/>
      <c r="GX260" s="124"/>
      <c r="GY260" s="124"/>
      <c r="GZ260" s="124"/>
      <c r="HA260" s="124"/>
      <c r="HB260" s="124"/>
      <c r="HC260" s="124"/>
      <c r="HD260" s="124"/>
      <c r="HE260" s="124"/>
      <c r="HF260" s="124"/>
      <c r="HG260" s="124"/>
      <c r="HH260" s="124"/>
      <c r="HI260" s="124"/>
      <c r="HJ260" s="124"/>
      <c r="HK260" s="124"/>
      <c r="HL260" s="124"/>
      <c r="HM260" s="124"/>
      <c r="HN260" s="124"/>
      <c r="HO260" s="124"/>
      <c r="HP260" s="124"/>
      <c r="HQ260" s="124"/>
      <c r="HR260" s="124"/>
      <c r="HS260" s="124"/>
      <c r="HT260" s="124"/>
      <c r="HU260" s="124"/>
      <c r="HV260" s="124"/>
      <c r="HW260" s="124"/>
      <c r="HX260" s="124"/>
      <c r="HY260" s="124"/>
      <c r="HZ260" s="124"/>
      <c r="IA260" s="124"/>
      <c r="IB260" s="124"/>
      <c r="IC260" s="124"/>
      <c r="ID260" s="124"/>
      <c r="IE260" s="124"/>
      <c r="IF260" s="124"/>
      <c r="IG260" s="124"/>
      <c r="IH260" s="124"/>
      <c r="II260" s="124"/>
      <c r="IJ260" s="124"/>
    </row>
    <row r="261" spans="1:244" ht="24" customHeight="1">
      <c r="A261" s="195"/>
      <c r="B261" s="197"/>
      <c r="C261" s="195"/>
      <c r="D261" s="196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200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  <c r="BO261" s="124"/>
      <c r="BP261" s="124"/>
      <c r="BQ261" s="124"/>
      <c r="BR261" s="124"/>
      <c r="BS261" s="124"/>
      <c r="BT261" s="124"/>
      <c r="BU261" s="124"/>
      <c r="BV261" s="124"/>
      <c r="BW261" s="124"/>
      <c r="BX261" s="124"/>
      <c r="BY261" s="124"/>
      <c r="BZ261" s="124"/>
      <c r="CA261" s="124"/>
      <c r="CB261" s="124"/>
      <c r="CC261" s="124"/>
      <c r="CD261" s="124"/>
      <c r="CE261" s="124"/>
      <c r="CF261" s="124"/>
      <c r="CG261" s="124"/>
      <c r="CH261" s="124"/>
      <c r="CI261" s="124"/>
      <c r="CJ261" s="124"/>
      <c r="CK261" s="124"/>
      <c r="CL261" s="124"/>
      <c r="CM261" s="124"/>
      <c r="CN261" s="124"/>
      <c r="CO261" s="124"/>
      <c r="CP261" s="124"/>
      <c r="CQ261" s="124"/>
      <c r="CR261" s="124"/>
      <c r="CS261" s="124"/>
      <c r="CT261" s="124"/>
      <c r="CU261" s="124"/>
      <c r="CV261" s="124"/>
      <c r="CW261" s="124"/>
      <c r="CX261" s="124"/>
      <c r="CY261" s="124"/>
      <c r="CZ261" s="124"/>
      <c r="DA261" s="124"/>
      <c r="DB261" s="124"/>
      <c r="DC261" s="124"/>
      <c r="DD261" s="124"/>
      <c r="DE261" s="124"/>
      <c r="DF261" s="124"/>
      <c r="DG261" s="124"/>
      <c r="DH261" s="124"/>
      <c r="DI261" s="124"/>
      <c r="DJ261" s="124"/>
      <c r="DK261" s="124"/>
      <c r="DL261" s="124"/>
      <c r="DM261" s="124"/>
      <c r="DN261" s="124"/>
      <c r="DO261" s="124"/>
      <c r="DP261" s="124"/>
      <c r="DQ261" s="124"/>
      <c r="DR261" s="124"/>
      <c r="DS261" s="124"/>
      <c r="DT261" s="124"/>
      <c r="DU261" s="124"/>
      <c r="DV261" s="124"/>
      <c r="DW261" s="124"/>
      <c r="DX261" s="124"/>
      <c r="DY261" s="124"/>
      <c r="DZ261" s="124"/>
      <c r="EA261" s="124"/>
      <c r="EB261" s="124"/>
      <c r="EC261" s="124"/>
      <c r="ED261" s="124"/>
      <c r="EE261" s="124"/>
      <c r="EF261" s="124"/>
      <c r="EG261" s="124"/>
      <c r="EH261" s="124"/>
      <c r="EI261" s="124"/>
      <c r="EJ261" s="124"/>
      <c r="EK261" s="124"/>
      <c r="EL261" s="124"/>
      <c r="EM261" s="124"/>
      <c r="EN261" s="124"/>
      <c r="EO261" s="124"/>
      <c r="EP261" s="124"/>
      <c r="EQ261" s="124"/>
      <c r="ER261" s="124"/>
      <c r="ES261" s="124"/>
      <c r="ET261" s="124"/>
      <c r="EU261" s="124"/>
      <c r="EV261" s="124"/>
      <c r="EW261" s="124"/>
      <c r="EX261" s="124"/>
      <c r="EY261" s="124"/>
      <c r="EZ261" s="124"/>
      <c r="FA261" s="124"/>
      <c r="FB261" s="124"/>
      <c r="FC261" s="124"/>
      <c r="FD261" s="124"/>
      <c r="FE261" s="124"/>
      <c r="FF261" s="124"/>
      <c r="FG261" s="124"/>
      <c r="FH261" s="124"/>
      <c r="FI261" s="124"/>
      <c r="FJ261" s="124"/>
      <c r="FK261" s="124"/>
      <c r="FL261" s="124"/>
      <c r="FM261" s="124"/>
      <c r="FN261" s="124"/>
      <c r="FO261" s="124"/>
      <c r="FP261" s="124"/>
      <c r="FQ261" s="124"/>
      <c r="FR261" s="124"/>
      <c r="FS261" s="124"/>
      <c r="FT261" s="124"/>
      <c r="FU261" s="124"/>
      <c r="FV261" s="124"/>
      <c r="FW261" s="124"/>
      <c r="FX261" s="124"/>
      <c r="FY261" s="124"/>
      <c r="FZ261" s="124"/>
      <c r="GA261" s="124"/>
      <c r="GB261" s="124"/>
      <c r="GC261" s="124"/>
      <c r="GD261" s="124"/>
      <c r="GE261" s="124"/>
      <c r="GF261" s="124"/>
      <c r="GG261" s="124"/>
      <c r="GH261" s="124"/>
      <c r="GI261" s="124"/>
      <c r="GJ261" s="124"/>
      <c r="GK261" s="124"/>
      <c r="GL261" s="124"/>
      <c r="GM261" s="124"/>
      <c r="GN261" s="124"/>
      <c r="GO261" s="124"/>
      <c r="GP261" s="124"/>
      <c r="GQ261" s="124"/>
      <c r="GR261" s="124"/>
      <c r="GS261" s="124"/>
      <c r="GT261" s="124"/>
      <c r="GU261" s="124"/>
      <c r="GV261" s="124"/>
      <c r="GW261" s="124"/>
      <c r="GX261" s="124"/>
      <c r="GY261" s="124"/>
      <c r="GZ261" s="124"/>
      <c r="HA261" s="124"/>
      <c r="HB261" s="124"/>
      <c r="HC261" s="124"/>
      <c r="HD261" s="124"/>
      <c r="HE261" s="124"/>
      <c r="HF261" s="124"/>
      <c r="HG261" s="124"/>
      <c r="HH261" s="124"/>
      <c r="HI261" s="124"/>
      <c r="HJ261" s="124"/>
      <c r="HK261" s="124"/>
      <c r="HL261" s="124"/>
      <c r="HM261" s="124"/>
      <c r="HN261" s="124"/>
      <c r="HO261" s="124"/>
      <c r="HP261" s="124"/>
      <c r="HQ261" s="124"/>
      <c r="HR261" s="124"/>
      <c r="HS261" s="124"/>
      <c r="HT261" s="124"/>
      <c r="HU261" s="124"/>
      <c r="HV261" s="124"/>
      <c r="HW261" s="124"/>
      <c r="HX261" s="124"/>
      <c r="HY261" s="124"/>
      <c r="HZ261" s="124"/>
      <c r="IA261" s="124"/>
      <c r="IB261" s="124"/>
      <c r="IC261" s="124"/>
      <c r="ID261" s="124"/>
      <c r="IE261" s="124"/>
      <c r="IF261" s="124"/>
      <c r="IG261" s="124"/>
      <c r="IH261" s="124"/>
      <c r="II261" s="124"/>
      <c r="IJ261" s="124"/>
    </row>
    <row r="262" spans="1:244" ht="24" customHeight="1">
      <c r="A262" s="195"/>
      <c r="B262" s="197"/>
      <c r="C262" s="195"/>
      <c r="D262" s="196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200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  <c r="BO262" s="124"/>
      <c r="BP262" s="124"/>
      <c r="BQ262" s="124"/>
      <c r="BR262" s="124"/>
      <c r="BS262" s="124"/>
      <c r="BT262" s="124"/>
      <c r="BU262" s="124"/>
      <c r="BV262" s="124"/>
      <c r="BW262" s="124"/>
      <c r="BX262" s="124"/>
      <c r="BY262" s="124"/>
      <c r="BZ262" s="124"/>
      <c r="CA262" s="124"/>
      <c r="CB262" s="124"/>
      <c r="CC262" s="124"/>
      <c r="CD262" s="124"/>
      <c r="CE262" s="124"/>
      <c r="CF262" s="124"/>
      <c r="CG262" s="124"/>
      <c r="CH262" s="124"/>
      <c r="CI262" s="124"/>
      <c r="CJ262" s="124"/>
      <c r="CK262" s="124"/>
      <c r="CL262" s="124"/>
      <c r="CM262" s="124"/>
      <c r="CN262" s="124"/>
      <c r="CO262" s="124"/>
      <c r="CP262" s="124"/>
      <c r="CQ262" s="124"/>
      <c r="CR262" s="124"/>
      <c r="CS262" s="124"/>
      <c r="CT262" s="124"/>
      <c r="CU262" s="124"/>
      <c r="CV262" s="124"/>
      <c r="CW262" s="124"/>
      <c r="CX262" s="124"/>
      <c r="CY262" s="124"/>
      <c r="CZ262" s="124"/>
      <c r="DA262" s="124"/>
      <c r="DB262" s="124"/>
      <c r="DC262" s="124"/>
      <c r="DD262" s="124"/>
      <c r="DE262" s="124"/>
      <c r="DF262" s="124"/>
      <c r="DG262" s="124"/>
      <c r="DH262" s="124"/>
      <c r="DI262" s="124"/>
      <c r="DJ262" s="124"/>
      <c r="DK262" s="124"/>
      <c r="DL262" s="124"/>
      <c r="DM262" s="124"/>
      <c r="DN262" s="124"/>
      <c r="DO262" s="124"/>
      <c r="DP262" s="124"/>
      <c r="DQ262" s="124"/>
      <c r="DR262" s="124"/>
      <c r="DS262" s="124"/>
      <c r="DT262" s="124"/>
      <c r="DU262" s="124"/>
      <c r="DV262" s="124"/>
      <c r="DW262" s="124"/>
      <c r="DX262" s="124"/>
      <c r="DY262" s="124"/>
      <c r="DZ262" s="124"/>
      <c r="EA262" s="124"/>
      <c r="EB262" s="124"/>
      <c r="EC262" s="124"/>
      <c r="ED262" s="124"/>
      <c r="EE262" s="124"/>
      <c r="EF262" s="124"/>
      <c r="EG262" s="124"/>
      <c r="EH262" s="124"/>
      <c r="EI262" s="124"/>
      <c r="EJ262" s="124"/>
      <c r="EK262" s="124"/>
      <c r="EL262" s="124"/>
      <c r="EM262" s="124"/>
      <c r="EN262" s="124"/>
      <c r="EO262" s="124"/>
      <c r="EP262" s="124"/>
      <c r="EQ262" s="124"/>
      <c r="ER262" s="124"/>
      <c r="ES262" s="124"/>
      <c r="ET262" s="124"/>
      <c r="EU262" s="124"/>
      <c r="EV262" s="124"/>
      <c r="EW262" s="124"/>
      <c r="EX262" s="124"/>
      <c r="EY262" s="124"/>
      <c r="EZ262" s="124"/>
      <c r="FA262" s="124"/>
      <c r="FB262" s="124"/>
      <c r="FC262" s="124"/>
      <c r="FD262" s="124"/>
      <c r="FE262" s="124"/>
      <c r="FF262" s="124"/>
      <c r="FG262" s="124"/>
      <c r="FH262" s="124"/>
      <c r="FI262" s="124"/>
      <c r="FJ262" s="124"/>
      <c r="FK262" s="124"/>
      <c r="FL262" s="124"/>
      <c r="FM262" s="124"/>
      <c r="FN262" s="124"/>
      <c r="FO262" s="124"/>
      <c r="FP262" s="124"/>
      <c r="FQ262" s="124"/>
      <c r="FR262" s="124"/>
      <c r="FS262" s="124"/>
      <c r="FT262" s="124"/>
      <c r="FU262" s="124"/>
      <c r="FV262" s="124"/>
      <c r="FW262" s="124"/>
      <c r="FX262" s="124"/>
      <c r="FY262" s="124"/>
      <c r="FZ262" s="124"/>
      <c r="GA262" s="124"/>
      <c r="GB262" s="124"/>
      <c r="GC262" s="124"/>
      <c r="GD262" s="124"/>
      <c r="GE262" s="124"/>
      <c r="GF262" s="124"/>
      <c r="GG262" s="124"/>
      <c r="GH262" s="124"/>
      <c r="GI262" s="124"/>
      <c r="GJ262" s="124"/>
      <c r="GK262" s="124"/>
      <c r="GL262" s="124"/>
      <c r="GM262" s="124"/>
      <c r="GN262" s="124"/>
      <c r="GO262" s="124"/>
      <c r="GP262" s="124"/>
      <c r="GQ262" s="124"/>
      <c r="GR262" s="124"/>
      <c r="GS262" s="124"/>
      <c r="GT262" s="124"/>
      <c r="GU262" s="124"/>
      <c r="GV262" s="124"/>
      <c r="GW262" s="124"/>
      <c r="GX262" s="124"/>
      <c r="GY262" s="124"/>
      <c r="GZ262" s="124"/>
      <c r="HA262" s="124"/>
      <c r="HB262" s="124"/>
      <c r="HC262" s="124"/>
      <c r="HD262" s="124"/>
      <c r="HE262" s="124"/>
      <c r="HF262" s="124"/>
      <c r="HG262" s="124"/>
      <c r="HH262" s="124"/>
      <c r="HI262" s="124"/>
      <c r="HJ262" s="124"/>
      <c r="HK262" s="124"/>
      <c r="HL262" s="124"/>
      <c r="HM262" s="124"/>
      <c r="HN262" s="124"/>
      <c r="HO262" s="124"/>
      <c r="HP262" s="124"/>
      <c r="HQ262" s="124"/>
      <c r="HR262" s="124"/>
      <c r="HS262" s="124"/>
      <c r="HT262" s="124"/>
      <c r="HU262" s="124"/>
      <c r="HV262" s="124"/>
      <c r="HW262" s="124"/>
      <c r="HX262" s="124"/>
      <c r="HY262" s="124"/>
      <c r="HZ262" s="124"/>
      <c r="IA262" s="124"/>
      <c r="IB262" s="124"/>
      <c r="IC262" s="124"/>
      <c r="ID262" s="124"/>
      <c r="IE262" s="124"/>
      <c r="IF262" s="124"/>
      <c r="IG262" s="124"/>
      <c r="IH262" s="124"/>
      <c r="II262" s="124"/>
      <c r="IJ262" s="124"/>
    </row>
    <row r="263" spans="1:244" ht="24" customHeight="1">
      <c r="A263" s="195"/>
      <c r="B263" s="197"/>
      <c r="C263" s="195"/>
      <c r="D263" s="196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200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  <c r="BO263" s="124"/>
      <c r="BP263" s="124"/>
      <c r="BQ263" s="124"/>
      <c r="BR263" s="124"/>
      <c r="BS263" s="124"/>
      <c r="BT263" s="124"/>
      <c r="BU263" s="124"/>
      <c r="BV263" s="124"/>
      <c r="BW263" s="124"/>
      <c r="BX263" s="124"/>
      <c r="BY263" s="124"/>
      <c r="BZ263" s="124"/>
      <c r="CA263" s="124"/>
      <c r="CB263" s="124"/>
      <c r="CC263" s="124"/>
      <c r="CD263" s="124"/>
      <c r="CE263" s="124"/>
      <c r="CF263" s="124"/>
      <c r="CG263" s="124"/>
      <c r="CH263" s="124"/>
      <c r="CI263" s="124"/>
      <c r="CJ263" s="124"/>
      <c r="CK263" s="124"/>
      <c r="CL263" s="124"/>
      <c r="CM263" s="124"/>
      <c r="CN263" s="124"/>
      <c r="CO263" s="124"/>
      <c r="CP263" s="124"/>
      <c r="CQ263" s="124"/>
      <c r="CR263" s="124"/>
      <c r="CS263" s="124"/>
      <c r="CT263" s="124"/>
      <c r="CU263" s="124"/>
      <c r="CV263" s="124"/>
      <c r="CW263" s="124"/>
      <c r="CX263" s="124"/>
      <c r="CY263" s="124"/>
      <c r="CZ263" s="124"/>
      <c r="DA263" s="124"/>
      <c r="DB263" s="124"/>
      <c r="DC263" s="124"/>
      <c r="DD263" s="124"/>
      <c r="DE263" s="124"/>
      <c r="DF263" s="124"/>
      <c r="DG263" s="124"/>
      <c r="DH263" s="124"/>
      <c r="DI263" s="124"/>
      <c r="DJ263" s="124"/>
      <c r="DK263" s="124"/>
      <c r="DL263" s="124"/>
      <c r="DM263" s="124"/>
      <c r="DN263" s="124"/>
      <c r="DO263" s="124"/>
      <c r="DP263" s="124"/>
      <c r="DQ263" s="124"/>
      <c r="DR263" s="124"/>
      <c r="DS263" s="124"/>
      <c r="DT263" s="124"/>
      <c r="DU263" s="124"/>
      <c r="DV263" s="124"/>
      <c r="DW263" s="124"/>
      <c r="DX263" s="124"/>
      <c r="DY263" s="124"/>
      <c r="DZ263" s="124"/>
      <c r="EA263" s="124"/>
      <c r="EB263" s="124"/>
      <c r="EC263" s="124"/>
      <c r="ED263" s="124"/>
      <c r="EE263" s="124"/>
      <c r="EF263" s="124"/>
      <c r="EG263" s="124"/>
      <c r="EH263" s="124"/>
      <c r="EI263" s="124"/>
      <c r="EJ263" s="124"/>
      <c r="EK263" s="124"/>
      <c r="EL263" s="124"/>
      <c r="EM263" s="124"/>
      <c r="EN263" s="124"/>
      <c r="EO263" s="124"/>
      <c r="EP263" s="124"/>
      <c r="EQ263" s="124"/>
      <c r="ER263" s="124"/>
      <c r="ES263" s="124"/>
      <c r="ET263" s="124"/>
      <c r="EU263" s="124"/>
      <c r="EV263" s="124"/>
      <c r="EW263" s="124"/>
      <c r="EX263" s="124"/>
      <c r="EY263" s="124"/>
      <c r="EZ263" s="124"/>
      <c r="FA263" s="124"/>
      <c r="FB263" s="124"/>
      <c r="FC263" s="124"/>
      <c r="FD263" s="124"/>
      <c r="FE263" s="124"/>
      <c r="FF263" s="124"/>
      <c r="FG263" s="124"/>
      <c r="FH263" s="124"/>
      <c r="FI263" s="124"/>
      <c r="FJ263" s="124"/>
      <c r="FK263" s="124"/>
      <c r="FL263" s="124"/>
      <c r="FM263" s="124"/>
      <c r="FN263" s="124"/>
      <c r="FO263" s="124"/>
      <c r="FP263" s="124"/>
      <c r="FQ263" s="124"/>
      <c r="FR263" s="124"/>
      <c r="FS263" s="124"/>
      <c r="FT263" s="124"/>
      <c r="FU263" s="124"/>
      <c r="FV263" s="124"/>
      <c r="FW263" s="124"/>
      <c r="FX263" s="124"/>
      <c r="FY263" s="124"/>
      <c r="FZ263" s="124"/>
      <c r="GA263" s="124"/>
      <c r="GB263" s="124"/>
      <c r="GC263" s="124"/>
      <c r="GD263" s="124"/>
      <c r="GE263" s="124"/>
      <c r="GF263" s="124"/>
      <c r="GG263" s="124"/>
      <c r="GH263" s="124"/>
      <c r="GI263" s="124"/>
      <c r="GJ263" s="124"/>
      <c r="GK263" s="124"/>
      <c r="GL263" s="124"/>
      <c r="GM263" s="124"/>
      <c r="GN263" s="124"/>
      <c r="GO263" s="124"/>
      <c r="GP263" s="124"/>
      <c r="GQ263" s="124"/>
      <c r="GR263" s="124"/>
      <c r="GS263" s="124"/>
      <c r="GT263" s="124"/>
      <c r="GU263" s="124"/>
      <c r="GV263" s="124"/>
      <c r="GW263" s="124"/>
      <c r="GX263" s="124"/>
      <c r="GY263" s="124"/>
      <c r="GZ263" s="124"/>
      <c r="HA263" s="124"/>
      <c r="HB263" s="124"/>
      <c r="HC263" s="124"/>
      <c r="HD263" s="124"/>
      <c r="HE263" s="124"/>
      <c r="HF263" s="124"/>
      <c r="HG263" s="124"/>
      <c r="HH263" s="124"/>
      <c r="HI263" s="124"/>
      <c r="HJ263" s="124"/>
      <c r="HK263" s="124"/>
      <c r="HL263" s="124"/>
      <c r="HM263" s="124"/>
      <c r="HN263" s="124"/>
      <c r="HO263" s="124"/>
      <c r="HP263" s="124"/>
      <c r="HQ263" s="124"/>
      <c r="HR263" s="124"/>
      <c r="HS263" s="124"/>
      <c r="HT263" s="124"/>
      <c r="HU263" s="124"/>
      <c r="HV263" s="124"/>
      <c r="HW263" s="124"/>
      <c r="HX263" s="124"/>
      <c r="HY263" s="124"/>
      <c r="HZ263" s="124"/>
      <c r="IA263" s="124"/>
      <c r="IB263" s="124"/>
      <c r="IC263" s="124"/>
      <c r="ID263" s="124"/>
      <c r="IE263" s="124"/>
      <c r="IF263" s="124"/>
      <c r="IG263" s="124"/>
      <c r="IH263" s="124"/>
      <c r="II263" s="124"/>
      <c r="IJ263" s="124"/>
    </row>
    <row r="264" spans="1:244" ht="24" customHeight="1">
      <c r="A264" s="195"/>
      <c r="B264" s="197"/>
      <c r="C264" s="195"/>
      <c r="D264" s="196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200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  <c r="BO264" s="124"/>
      <c r="BP264" s="124"/>
      <c r="BQ264" s="124"/>
      <c r="BR264" s="124"/>
      <c r="BS264" s="124"/>
      <c r="BT264" s="124"/>
      <c r="BU264" s="124"/>
      <c r="BV264" s="124"/>
      <c r="BW264" s="124"/>
      <c r="BX264" s="124"/>
      <c r="BY264" s="124"/>
      <c r="BZ264" s="124"/>
      <c r="CA264" s="124"/>
      <c r="CB264" s="124"/>
      <c r="CC264" s="124"/>
      <c r="CD264" s="124"/>
      <c r="CE264" s="124"/>
      <c r="CF264" s="124"/>
      <c r="CG264" s="124"/>
      <c r="CH264" s="124"/>
      <c r="CI264" s="124"/>
      <c r="CJ264" s="124"/>
      <c r="CK264" s="124"/>
      <c r="CL264" s="124"/>
      <c r="CM264" s="124"/>
      <c r="CN264" s="124"/>
      <c r="CO264" s="124"/>
      <c r="CP264" s="124"/>
      <c r="CQ264" s="124"/>
      <c r="CR264" s="124"/>
      <c r="CS264" s="124"/>
      <c r="CT264" s="124"/>
      <c r="CU264" s="124"/>
      <c r="CV264" s="124"/>
      <c r="CW264" s="124"/>
      <c r="CX264" s="124"/>
      <c r="CY264" s="124"/>
      <c r="CZ264" s="124"/>
      <c r="DA264" s="124"/>
      <c r="DB264" s="124"/>
      <c r="DC264" s="124"/>
      <c r="DD264" s="124"/>
      <c r="DE264" s="124"/>
      <c r="DF264" s="124"/>
      <c r="DG264" s="124"/>
      <c r="DH264" s="124"/>
      <c r="DI264" s="124"/>
      <c r="DJ264" s="124"/>
      <c r="DK264" s="124"/>
      <c r="DL264" s="124"/>
      <c r="DM264" s="124"/>
      <c r="DN264" s="124"/>
      <c r="DO264" s="124"/>
      <c r="DP264" s="124"/>
      <c r="DQ264" s="124"/>
      <c r="DR264" s="124"/>
      <c r="DS264" s="124"/>
      <c r="DT264" s="124"/>
      <c r="DU264" s="124"/>
      <c r="DV264" s="124"/>
      <c r="DW264" s="124"/>
      <c r="DX264" s="124"/>
      <c r="DY264" s="124"/>
      <c r="DZ264" s="124"/>
      <c r="EA264" s="124"/>
      <c r="EB264" s="124"/>
      <c r="EC264" s="124"/>
      <c r="ED264" s="124"/>
      <c r="EE264" s="124"/>
      <c r="EF264" s="124"/>
      <c r="EG264" s="124"/>
      <c r="EH264" s="124"/>
      <c r="EI264" s="124"/>
      <c r="EJ264" s="124"/>
      <c r="EK264" s="124"/>
      <c r="EL264" s="124"/>
      <c r="EM264" s="124"/>
      <c r="EN264" s="124"/>
      <c r="EO264" s="124"/>
      <c r="EP264" s="124"/>
      <c r="EQ264" s="124"/>
      <c r="ER264" s="124"/>
      <c r="ES264" s="124"/>
      <c r="ET264" s="124"/>
      <c r="EU264" s="124"/>
      <c r="EV264" s="124"/>
      <c r="EW264" s="124"/>
      <c r="EX264" s="124"/>
      <c r="EY264" s="124"/>
      <c r="EZ264" s="124"/>
      <c r="FA264" s="124"/>
      <c r="FB264" s="124"/>
      <c r="FC264" s="124"/>
      <c r="FD264" s="124"/>
      <c r="FE264" s="124"/>
      <c r="FF264" s="124"/>
      <c r="FG264" s="124"/>
      <c r="FH264" s="124"/>
      <c r="FI264" s="124"/>
      <c r="FJ264" s="124"/>
      <c r="FK264" s="124"/>
      <c r="FL264" s="124"/>
      <c r="FM264" s="124"/>
      <c r="FN264" s="124"/>
      <c r="FO264" s="124"/>
      <c r="FP264" s="124"/>
      <c r="FQ264" s="124"/>
      <c r="FR264" s="124"/>
      <c r="FS264" s="124"/>
      <c r="FT264" s="124"/>
      <c r="FU264" s="124"/>
      <c r="FV264" s="124"/>
      <c r="FW264" s="124"/>
      <c r="FX264" s="124"/>
      <c r="FY264" s="124"/>
      <c r="FZ264" s="124"/>
      <c r="GA264" s="124"/>
      <c r="GB264" s="124"/>
      <c r="GC264" s="124"/>
      <c r="GD264" s="124"/>
      <c r="GE264" s="124"/>
      <c r="GF264" s="124"/>
      <c r="GG264" s="124"/>
      <c r="GH264" s="124"/>
      <c r="GI264" s="124"/>
      <c r="GJ264" s="124"/>
      <c r="GK264" s="124"/>
      <c r="GL264" s="124"/>
      <c r="GM264" s="124"/>
      <c r="GN264" s="124"/>
      <c r="GO264" s="124"/>
      <c r="GP264" s="124"/>
      <c r="GQ264" s="124"/>
      <c r="GR264" s="124"/>
      <c r="GS264" s="124"/>
      <c r="GT264" s="124"/>
      <c r="GU264" s="124"/>
      <c r="GV264" s="124"/>
      <c r="GW264" s="124"/>
      <c r="GX264" s="124"/>
      <c r="GY264" s="124"/>
      <c r="GZ264" s="124"/>
      <c r="HA264" s="124"/>
      <c r="HB264" s="124"/>
      <c r="HC264" s="124"/>
      <c r="HD264" s="124"/>
      <c r="HE264" s="124"/>
      <c r="HF264" s="124"/>
      <c r="HG264" s="124"/>
      <c r="HH264" s="124"/>
      <c r="HI264" s="124"/>
      <c r="HJ264" s="124"/>
      <c r="HK264" s="124"/>
      <c r="HL264" s="124"/>
      <c r="HM264" s="124"/>
      <c r="HN264" s="124"/>
      <c r="HO264" s="124"/>
      <c r="HP264" s="124"/>
      <c r="HQ264" s="124"/>
      <c r="HR264" s="124"/>
      <c r="HS264" s="124"/>
      <c r="HT264" s="124"/>
      <c r="HU264" s="124"/>
      <c r="HV264" s="124"/>
      <c r="HW264" s="124"/>
      <c r="HX264" s="124"/>
      <c r="HY264" s="124"/>
      <c r="HZ264" s="124"/>
      <c r="IA264" s="124"/>
      <c r="IB264" s="124"/>
      <c r="IC264" s="124"/>
      <c r="ID264" s="124"/>
      <c r="IE264" s="124"/>
      <c r="IF264" s="124"/>
      <c r="IG264" s="124"/>
      <c r="IH264" s="124"/>
      <c r="II264" s="124"/>
      <c r="IJ264" s="124"/>
    </row>
    <row r="265" spans="1:244" ht="24" customHeight="1">
      <c r="A265" s="195"/>
      <c r="B265" s="197"/>
      <c r="C265" s="195"/>
      <c r="D265" s="196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200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  <c r="BO265" s="124"/>
      <c r="BP265" s="124"/>
      <c r="BQ265" s="124"/>
      <c r="BR265" s="124"/>
      <c r="BS265" s="124"/>
      <c r="BT265" s="124"/>
      <c r="BU265" s="124"/>
      <c r="BV265" s="124"/>
      <c r="BW265" s="124"/>
      <c r="BX265" s="124"/>
      <c r="BY265" s="124"/>
      <c r="BZ265" s="124"/>
      <c r="CA265" s="124"/>
      <c r="CB265" s="124"/>
      <c r="CC265" s="124"/>
      <c r="CD265" s="124"/>
      <c r="CE265" s="124"/>
      <c r="CF265" s="124"/>
      <c r="CG265" s="124"/>
      <c r="CH265" s="124"/>
      <c r="CI265" s="124"/>
      <c r="CJ265" s="124"/>
      <c r="CK265" s="124"/>
      <c r="CL265" s="124"/>
      <c r="CM265" s="124"/>
      <c r="CN265" s="124"/>
      <c r="CO265" s="124"/>
      <c r="CP265" s="124"/>
      <c r="CQ265" s="124"/>
      <c r="CR265" s="124"/>
      <c r="CS265" s="124"/>
      <c r="CT265" s="124"/>
      <c r="CU265" s="124"/>
      <c r="CV265" s="124"/>
      <c r="CW265" s="124"/>
      <c r="CX265" s="124"/>
      <c r="CY265" s="124"/>
      <c r="CZ265" s="124"/>
      <c r="DA265" s="124"/>
      <c r="DB265" s="124"/>
      <c r="DC265" s="124"/>
      <c r="DD265" s="124"/>
      <c r="DE265" s="124"/>
      <c r="DF265" s="124"/>
      <c r="DG265" s="124"/>
      <c r="DH265" s="124"/>
      <c r="DI265" s="124"/>
      <c r="DJ265" s="124"/>
      <c r="DK265" s="124"/>
      <c r="DL265" s="124"/>
      <c r="DM265" s="124"/>
      <c r="DN265" s="124"/>
      <c r="DO265" s="124"/>
      <c r="DP265" s="124"/>
      <c r="DQ265" s="124"/>
      <c r="DR265" s="124"/>
      <c r="DS265" s="124"/>
      <c r="DT265" s="124"/>
      <c r="DU265" s="124"/>
      <c r="DV265" s="124"/>
      <c r="DW265" s="124"/>
      <c r="DX265" s="124"/>
      <c r="DY265" s="124"/>
      <c r="DZ265" s="124"/>
      <c r="EA265" s="124"/>
      <c r="EB265" s="124"/>
      <c r="EC265" s="124"/>
      <c r="ED265" s="124"/>
      <c r="EE265" s="124"/>
      <c r="EF265" s="124"/>
      <c r="EG265" s="124"/>
      <c r="EH265" s="124"/>
      <c r="EI265" s="124"/>
      <c r="EJ265" s="124"/>
      <c r="EK265" s="124"/>
      <c r="EL265" s="124"/>
      <c r="EM265" s="124"/>
      <c r="EN265" s="124"/>
      <c r="EO265" s="124"/>
      <c r="EP265" s="124"/>
      <c r="EQ265" s="124"/>
      <c r="ER265" s="124"/>
      <c r="ES265" s="124"/>
      <c r="ET265" s="124"/>
      <c r="EU265" s="124"/>
      <c r="EV265" s="124"/>
      <c r="EW265" s="124"/>
      <c r="EX265" s="124"/>
      <c r="EY265" s="124"/>
      <c r="EZ265" s="124"/>
      <c r="FA265" s="124"/>
      <c r="FB265" s="124"/>
      <c r="FC265" s="124"/>
      <c r="FD265" s="124"/>
      <c r="FE265" s="124"/>
      <c r="FF265" s="124"/>
      <c r="FG265" s="124"/>
      <c r="FH265" s="124"/>
      <c r="FI265" s="124"/>
      <c r="FJ265" s="124"/>
      <c r="FK265" s="124"/>
      <c r="FL265" s="124"/>
      <c r="FM265" s="124"/>
      <c r="FN265" s="124"/>
      <c r="FO265" s="124"/>
      <c r="FP265" s="124"/>
      <c r="FQ265" s="124"/>
      <c r="FR265" s="124"/>
      <c r="FS265" s="124"/>
      <c r="FT265" s="124"/>
      <c r="FU265" s="124"/>
      <c r="FV265" s="124"/>
      <c r="FW265" s="124"/>
      <c r="FX265" s="124"/>
      <c r="FY265" s="124"/>
      <c r="FZ265" s="124"/>
      <c r="GA265" s="124"/>
      <c r="GB265" s="124"/>
      <c r="GC265" s="124"/>
      <c r="GD265" s="124"/>
      <c r="GE265" s="124"/>
      <c r="GF265" s="124"/>
      <c r="GG265" s="124"/>
      <c r="GH265" s="124"/>
      <c r="GI265" s="124"/>
      <c r="GJ265" s="124"/>
      <c r="GK265" s="124"/>
      <c r="GL265" s="124"/>
      <c r="GM265" s="124"/>
      <c r="GN265" s="124"/>
      <c r="GO265" s="124"/>
      <c r="GP265" s="124"/>
      <c r="GQ265" s="124"/>
      <c r="GR265" s="124"/>
      <c r="GS265" s="124"/>
      <c r="GT265" s="124"/>
      <c r="GU265" s="124"/>
      <c r="GV265" s="124"/>
      <c r="GW265" s="124"/>
      <c r="GX265" s="124"/>
      <c r="GY265" s="124"/>
      <c r="GZ265" s="124"/>
      <c r="HA265" s="124"/>
      <c r="HB265" s="124"/>
      <c r="HC265" s="124"/>
      <c r="HD265" s="124"/>
      <c r="HE265" s="124"/>
      <c r="HF265" s="124"/>
      <c r="HG265" s="124"/>
      <c r="HH265" s="124"/>
      <c r="HI265" s="124"/>
      <c r="HJ265" s="124"/>
      <c r="HK265" s="124"/>
      <c r="HL265" s="124"/>
      <c r="HM265" s="124"/>
      <c r="HN265" s="124"/>
      <c r="HO265" s="124"/>
      <c r="HP265" s="124"/>
      <c r="HQ265" s="124"/>
      <c r="HR265" s="124"/>
      <c r="HS265" s="124"/>
      <c r="HT265" s="124"/>
      <c r="HU265" s="124"/>
      <c r="HV265" s="124"/>
      <c r="HW265" s="124"/>
      <c r="HX265" s="124"/>
      <c r="HY265" s="124"/>
      <c r="HZ265" s="124"/>
      <c r="IA265" s="124"/>
      <c r="IB265" s="124"/>
      <c r="IC265" s="124"/>
      <c r="ID265" s="124"/>
      <c r="IE265" s="124"/>
      <c r="IF265" s="124"/>
      <c r="IG265" s="124"/>
      <c r="IH265" s="124"/>
      <c r="II265" s="124"/>
      <c r="IJ265" s="124"/>
    </row>
    <row r="266" spans="1:244" ht="24" customHeight="1">
      <c r="A266" s="195"/>
      <c r="B266" s="197"/>
      <c r="C266" s="195"/>
      <c r="D266" s="196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200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  <c r="BO266" s="124"/>
      <c r="BP266" s="124"/>
      <c r="BQ266" s="124"/>
      <c r="BR266" s="124"/>
      <c r="BS266" s="124"/>
      <c r="BT266" s="124"/>
      <c r="BU266" s="124"/>
      <c r="BV266" s="124"/>
      <c r="BW266" s="124"/>
      <c r="BX266" s="124"/>
      <c r="BY266" s="124"/>
      <c r="BZ266" s="124"/>
      <c r="CA266" s="124"/>
      <c r="CB266" s="124"/>
      <c r="CC266" s="124"/>
      <c r="CD266" s="124"/>
      <c r="CE266" s="124"/>
      <c r="CF266" s="124"/>
      <c r="CG266" s="124"/>
      <c r="CH266" s="124"/>
      <c r="CI266" s="124"/>
      <c r="CJ266" s="124"/>
      <c r="CK266" s="124"/>
      <c r="CL266" s="124"/>
      <c r="CM266" s="124"/>
      <c r="CN266" s="124"/>
      <c r="CO266" s="124"/>
      <c r="CP266" s="124"/>
      <c r="CQ266" s="124"/>
      <c r="CR266" s="124"/>
      <c r="CS266" s="124"/>
      <c r="CT266" s="124"/>
      <c r="CU266" s="124"/>
      <c r="CV266" s="124"/>
      <c r="CW266" s="124"/>
      <c r="CX266" s="124"/>
      <c r="CY266" s="124"/>
      <c r="CZ266" s="124"/>
      <c r="DA266" s="124"/>
      <c r="DB266" s="124"/>
      <c r="DC266" s="124"/>
      <c r="DD266" s="124"/>
      <c r="DE266" s="124"/>
      <c r="DF266" s="124"/>
      <c r="DG266" s="124"/>
      <c r="DH266" s="124"/>
      <c r="DI266" s="124"/>
      <c r="DJ266" s="124"/>
      <c r="DK266" s="124"/>
      <c r="DL266" s="124"/>
      <c r="DM266" s="124"/>
      <c r="DN266" s="124"/>
      <c r="DO266" s="124"/>
      <c r="DP266" s="124"/>
      <c r="DQ266" s="124"/>
      <c r="DR266" s="124"/>
      <c r="DS266" s="124"/>
      <c r="DT266" s="124"/>
      <c r="DU266" s="124"/>
      <c r="DV266" s="124"/>
      <c r="DW266" s="124"/>
      <c r="DX266" s="124"/>
      <c r="DY266" s="124"/>
      <c r="DZ266" s="124"/>
      <c r="EA266" s="124"/>
      <c r="EB266" s="124"/>
      <c r="EC266" s="124"/>
      <c r="ED266" s="124"/>
      <c r="EE266" s="124"/>
      <c r="EF266" s="124"/>
      <c r="EG266" s="124"/>
      <c r="EH266" s="124"/>
      <c r="EI266" s="124"/>
      <c r="EJ266" s="124"/>
      <c r="EK266" s="124"/>
      <c r="EL266" s="124"/>
      <c r="EM266" s="124"/>
      <c r="EN266" s="124"/>
      <c r="EO266" s="124"/>
      <c r="EP266" s="124"/>
      <c r="EQ266" s="124"/>
      <c r="ER266" s="124"/>
      <c r="ES266" s="124"/>
      <c r="ET266" s="124"/>
      <c r="EU266" s="124"/>
      <c r="EV266" s="124"/>
      <c r="EW266" s="124"/>
      <c r="EX266" s="124"/>
      <c r="EY266" s="124"/>
      <c r="EZ266" s="124"/>
      <c r="FA266" s="124"/>
      <c r="FB266" s="124"/>
      <c r="FC266" s="124"/>
      <c r="FD266" s="124"/>
      <c r="FE266" s="124"/>
      <c r="FF266" s="124"/>
      <c r="FG266" s="124"/>
      <c r="FH266" s="124"/>
      <c r="FI266" s="124"/>
      <c r="FJ266" s="124"/>
      <c r="FK266" s="124"/>
      <c r="FL266" s="124"/>
      <c r="FM266" s="124"/>
      <c r="FN266" s="124"/>
      <c r="FO266" s="124"/>
      <c r="FP266" s="124"/>
      <c r="FQ266" s="124"/>
      <c r="FR266" s="124"/>
      <c r="FS266" s="124"/>
      <c r="FT266" s="124"/>
      <c r="FU266" s="124"/>
      <c r="FV266" s="124"/>
      <c r="FW266" s="124"/>
      <c r="FX266" s="124"/>
      <c r="FY266" s="124"/>
      <c r="FZ266" s="124"/>
      <c r="GA266" s="124"/>
      <c r="GB266" s="124"/>
      <c r="GC266" s="124"/>
      <c r="GD266" s="124"/>
      <c r="GE266" s="124"/>
      <c r="GF266" s="124"/>
      <c r="GG266" s="124"/>
      <c r="GH266" s="124"/>
      <c r="GI266" s="124"/>
      <c r="GJ266" s="124"/>
      <c r="GK266" s="124"/>
      <c r="GL266" s="124"/>
      <c r="GM266" s="124"/>
      <c r="GN266" s="124"/>
      <c r="GO266" s="124"/>
      <c r="GP266" s="124"/>
      <c r="GQ266" s="124"/>
      <c r="GR266" s="124"/>
      <c r="GS266" s="124"/>
      <c r="GT266" s="124"/>
      <c r="GU266" s="124"/>
      <c r="GV266" s="124"/>
      <c r="GW266" s="124"/>
      <c r="GX266" s="124"/>
      <c r="GY266" s="124"/>
      <c r="GZ266" s="124"/>
      <c r="HA266" s="124"/>
      <c r="HB266" s="124"/>
      <c r="HC266" s="124"/>
      <c r="HD266" s="124"/>
      <c r="HE266" s="124"/>
      <c r="HF266" s="124"/>
      <c r="HG266" s="124"/>
      <c r="HH266" s="124"/>
      <c r="HI266" s="124"/>
      <c r="HJ266" s="124"/>
      <c r="HK266" s="124"/>
      <c r="HL266" s="124"/>
      <c r="HM266" s="124"/>
      <c r="HN266" s="124"/>
      <c r="HO266" s="124"/>
      <c r="HP266" s="124"/>
      <c r="HQ266" s="124"/>
      <c r="HR266" s="124"/>
      <c r="HS266" s="124"/>
      <c r="HT266" s="124"/>
      <c r="HU266" s="124"/>
      <c r="HV266" s="124"/>
      <c r="HW266" s="124"/>
      <c r="HX266" s="124"/>
      <c r="HY266" s="124"/>
      <c r="HZ266" s="124"/>
      <c r="IA266" s="124"/>
      <c r="IB266" s="124"/>
      <c r="IC266" s="124"/>
      <c r="ID266" s="124"/>
      <c r="IE266" s="124"/>
      <c r="IF266" s="124"/>
      <c r="IG266" s="124"/>
      <c r="IH266" s="124"/>
      <c r="II266" s="124"/>
      <c r="IJ266" s="124"/>
    </row>
    <row r="267" spans="1:244" ht="24" customHeight="1">
      <c r="A267" s="195"/>
      <c r="B267" s="197"/>
      <c r="C267" s="195"/>
      <c r="D267" s="196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200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  <c r="BO267" s="124"/>
      <c r="BP267" s="124"/>
      <c r="BQ267" s="124"/>
      <c r="BR267" s="124"/>
      <c r="BS267" s="124"/>
      <c r="BT267" s="124"/>
      <c r="BU267" s="124"/>
      <c r="BV267" s="124"/>
      <c r="BW267" s="124"/>
      <c r="BX267" s="124"/>
      <c r="BY267" s="124"/>
      <c r="BZ267" s="124"/>
      <c r="CA267" s="124"/>
      <c r="CB267" s="124"/>
      <c r="CC267" s="124"/>
      <c r="CD267" s="124"/>
      <c r="CE267" s="124"/>
      <c r="CF267" s="124"/>
      <c r="CG267" s="124"/>
      <c r="CH267" s="124"/>
      <c r="CI267" s="124"/>
      <c r="CJ267" s="124"/>
      <c r="CK267" s="124"/>
      <c r="CL267" s="124"/>
      <c r="CM267" s="124"/>
      <c r="CN267" s="124"/>
      <c r="CO267" s="124"/>
      <c r="CP267" s="124"/>
      <c r="CQ267" s="124"/>
      <c r="CR267" s="124"/>
      <c r="CS267" s="124"/>
      <c r="CT267" s="124"/>
      <c r="CU267" s="124"/>
      <c r="CV267" s="124"/>
      <c r="CW267" s="124"/>
      <c r="CX267" s="124"/>
      <c r="CY267" s="124"/>
      <c r="CZ267" s="124"/>
      <c r="DA267" s="124"/>
      <c r="DB267" s="124"/>
      <c r="DC267" s="124"/>
      <c r="DD267" s="124"/>
      <c r="DE267" s="124"/>
      <c r="DF267" s="124"/>
      <c r="DG267" s="124"/>
      <c r="DH267" s="124"/>
      <c r="DI267" s="124"/>
      <c r="DJ267" s="124"/>
      <c r="DK267" s="124"/>
      <c r="DL267" s="124"/>
      <c r="DM267" s="124"/>
      <c r="DN267" s="124"/>
      <c r="DO267" s="124"/>
      <c r="DP267" s="124"/>
      <c r="DQ267" s="124"/>
      <c r="DR267" s="124"/>
      <c r="DS267" s="124"/>
      <c r="DT267" s="124"/>
      <c r="DU267" s="124"/>
      <c r="DV267" s="124"/>
      <c r="DW267" s="124"/>
      <c r="DX267" s="124"/>
      <c r="DY267" s="124"/>
      <c r="DZ267" s="124"/>
      <c r="EA267" s="124"/>
      <c r="EB267" s="124"/>
      <c r="EC267" s="124"/>
      <c r="ED267" s="124"/>
      <c r="EE267" s="124"/>
      <c r="EF267" s="124"/>
      <c r="EG267" s="124"/>
      <c r="EH267" s="124"/>
      <c r="EI267" s="124"/>
      <c r="EJ267" s="124"/>
      <c r="EK267" s="124"/>
      <c r="EL267" s="124"/>
      <c r="EM267" s="124"/>
      <c r="EN267" s="124"/>
      <c r="EO267" s="124"/>
      <c r="EP267" s="124"/>
      <c r="EQ267" s="124"/>
      <c r="ER267" s="124"/>
      <c r="ES267" s="124"/>
      <c r="ET267" s="124"/>
      <c r="EU267" s="124"/>
      <c r="EV267" s="124"/>
      <c r="EW267" s="124"/>
      <c r="EX267" s="124"/>
      <c r="EY267" s="124"/>
      <c r="EZ267" s="124"/>
      <c r="FA267" s="124"/>
      <c r="FB267" s="124"/>
      <c r="FC267" s="124"/>
      <c r="FD267" s="124"/>
      <c r="FE267" s="124"/>
      <c r="FF267" s="124"/>
      <c r="FG267" s="124"/>
      <c r="FH267" s="124"/>
      <c r="FI267" s="124"/>
      <c r="FJ267" s="124"/>
      <c r="FK267" s="124"/>
      <c r="FL267" s="124"/>
      <c r="FM267" s="124"/>
      <c r="FN267" s="124"/>
      <c r="FO267" s="124"/>
      <c r="FP267" s="124"/>
      <c r="FQ267" s="124"/>
      <c r="FR267" s="124"/>
      <c r="FS267" s="124"/>
      <c r="FT267" s="124"/>
      <c r="FU267" s="124"/>
      <c r="FV267" s="124"/>
      <c r="FW267" s="124"/>
      <c r="FX267" s="124"/>
      <c r="FY267" s="124"/>
      <c r="FZ267" s="124"/>
      <c r="GA267" s="124"/>
      <c r="GB267" s="124"/>
      <c r="GC267" s="124"/>
      <c r="GD267" s="124"/>
      <c r="GE267" s="124"/>
      <c r="GF267" s="124"/>
      <c r="GG267" s="124"/>
      <c r="GH267" s="124"/>
      <c r="GI267" s="124"/>
      <c r="GJ267" s="124"/>
      <c r="GK267" s="124"/>
      <c r="GL267" s="124"/>
      <c r="GM267" s="124"/>
      <c r="GN267" s="124"/>
      <c r="GO267" s="124"/>
      <c r="GP267" s="124"/>
      <c r="GQ267" s="124"/>
      <c r="GR267" s="124"/>
      <c r="GS267" s="124"/>
      <c r="GT267" s="124"/>
      <c r="GU267" s="124"/>
      <c r="GV267" s="124"/>
      <c r="GW267" s="124"/>
      <c r="GX267" s="124"/>
      <c r="GY267" s="124"/>
      <c r="GZ267" s="124"/>
      <c r="HA267" s="124"/>
      <c r="HB267" s="124"/>
      <c r="HC267" s="124"/>
      <c r="HD267" s="124"/>
      <c r="HE267" s="124"/>
      <c r="HF267" s="124"/>
      <c r="HG267" s="124"/>
      <c r="HH267" s="124"/>
      <c r="HI267" s="124"/>
      <c r="HJ267" s="124"/>
      <c r="HK267" s="124"/>
      <c r="HL267" s="124"/>
      <c r="HM267" s="124"/>
      <c r="HN267" s="124"/>
      <c r="HO267" s="124"/>
      <c r="HP267" s="124"/>
      <c r="HQ267" s="124"/>
      <c r="HR267" s="124"/>
      <c r="HS267" s="124"/>
      <c r="HT267" s="124"/>
      <c r="HU267" s="124"/>
      <c r="HV267" s="124"/>
      <c r="HW267" s="124"/>
      <c r="HX267" s="124"/>
      <c r="HY267" s="124"/>
      <c r="HZ267" s="124"/>
      <c r="IA267" s="124"/>
      <c r="IB267" s="124"/>
      <c r="IC267" s="124"/>
      <c r="ID267" s="124"/>
      <c r="IE267" s="124"/>
      <c r="IF267" s="124"/>
      <c r="IG267" s="124"/>
      <c r="IH267" s="124"/>
      <c r="II267" s="124"/>
      <c r="IJ267" s="124"/>
    </row>
    <row r="268" spans="1:244" ht="24" customHeight="1">
      <c r="A268" s="195"/>
      <c r="B268" s="197"/>
      <c r="C268" s="195"/>
      <c r="D268" s="196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200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  <c r="BO268" s="124"/>
      <c r="BP268" s="124"/>
      <c r="BQ268" s="124"/>
      <c r="BR268" s="124"/>
      <c r="BS268" s="124"/>
      <c r="BT268" s="124"/>
      <c r="BU268" s="124"/>
      <c r="BV268" s="124"/>
      <c r="BW268" s="124"/>
      <c r="BX268" s="124"/>
      <c r="BY268" s="124"/>
      <c r="BZ268" s="124"/>
      <c r="CA268" s="124"/>
      <c r="CB268" s="124"/>
      <c r="CC268" s="124"/>
      <c r="CD268" s="124"/>
      <c r="CE268" s="124"/>
      <c r="CF268" s="124"/>
      <c r="CG268" s="124"/>
      <c r="CH268" s="124"/>
      <c r="CI268" s="124"/>
      <c r="CJ268" s="124"/>
      <c r="CK268" s="124"/>
      <c r="CL268" s="124"/>
      <c r="CM268" s="124"/>
      <c r="CN268" s="124"/>
      <c r="CO268" s="124"/>
      <c r="CP268" s="124"/>
      <c r="CQ268" s="124"/>
      <c r="CR268" s="124"/>
      <c r="CS268" s="124"/>
      <c r="CT268" s="124"/>
      <c r="CU268" s="124"/>
      <c r="CV268" s="124"/>
      <c r="CW268" s="124"/>
      <c r="CX268" s="124"/>
      <c r="CY268" s="124"/>
      <c r="CZ268" s="124"/>
      <c r="DA268" s="124"/>
      <c r="DB268" s="124"/>
      <c r="DC268" s="124"/>
      <c r="DD268" s="124"/>
      <c r="DE268" s="124"/>
      <c r="DF268" s="124"/>
      <c r="DG268" s="124"/>
      <c r="DH268" s="124"/>
      <c r="DI268" s="124"/>
      <c r="DJ268" s="124"/>
      <c r="DK268" s="124"/>
      <c r="DL268" s="124"/>
      <c r="DM268" s="124"/>
      <c r="DN268" s="124"/>
      <c r="DO268" s="124"/>
      <c r="DP268" s="124"/>
      <c r="DQ268" s="124"/>
      <c r="DR268" s="124"/>
      <c r="DS268" s="124"/>
      <c r="DT268" s="124"/>
      <c r="DU268" s="124"/>
      <c r="DV268" s="124"/>
      <c r="DW268" s="124"/>
      <c r="DX268" s="124"/>
      <c r="DY268" s="124"/>
      <c r="DZ268" s="124"/>
      <c r="EA268" s="124"/>
      <c r="EB268" s="124"/>
      <c r="EC268" s="124"/>
      <c r="ED268" s="124"/>
      <c r="EE268" s="124"/>
      <c r="EF268" s="124"/>
      <c r="EG268" s="124"/>
      <c r="EH268" s="124"/>
      <c r="EI268" s="124"/>
      <c r="EJ268" s="124"/>
      <c r="EK268" s="124"/>
      <c r="EL268" s="124"/>
      <c r="EM268" s="124"/>
      <c r="EN268" s="124"/>
      <c r="EO268" s="124"/>
      <c r="EP268" s="124"/>
      <c r="EQ268" s="124"/>
      <c r="ER268" s="124"/>
      <c r="ES268" s="124"/>
      <c r="ET268" s="124"/>
      <c r="EU268" s="124"/>
      <c r="EV268" s="124"/>
      <c r="EW268" s="124"/>
      <c r="EX268" s="124"/>
      <c r="EY268" s="124"/>
      <c r="EZ268" s="124"/>
      <c r="FA268" s="124"/>
      <c r="FB268" s="124"/>
      <c r="FC268" s="124"/>
      <c r="FD268" s="124"/>
      <c r="FE268" s="124"/>
      <c r="FF268" s="124"/>
      <c r="FG268" s="124"/>
      <c r="FH268" s="124"/>
      <c r="FI268" s="124"/>
      <c r="FJ268" s="124"/>
      <c r="FK268" s="124"/>
      <c r="FL268" s="124"/>
      <c r="FM268" s="124"/>
      <c r="FN268" s="124"/>
      <c r="FO268" s="124"/>
      <c r="FP268" s="124"/>
      <c r="FQ268" s="124"/>
      <c r="FR268" s="124"/>
      <c r="FS268" s="124"/>
      <c r="FT268" s="124"/>
      <c r="FU268" s="124"/>
      <c r="FV268" s="124"/>
      <c r="FW268" s="124"/>
      <c r="FX268" s="124"/>
      <c r="FY268" s="124"/>
      <c r="FZ268" s="124"/>
      <c r="GA268" s="124"/>
      <c r="GB268" s="124"/>
      <c r="GC268" s="124"/>
      <c r="GD268" s="124"/>
      <c r="GE268" s="124"/>
      <c r="GF268" s="124"/>
      <c r="GG268" s="124"/>
      <c r="GH268" s="124"/>
      <c r="GI268" s="124"/>
      <c r="GJ268" s="124"/>
      <c r="GK268" s="124"/>
      <c r="GL268" s="124"/>
      <c r="GM268" s="124"/>
      <c r="GN268" s="124"/>
      <c r="GO268" s="124"/>
      <c r="GP268" s="124"/>
      <c r="GQ268" s="124"/>
      <c r="GR268" s="124"/>
      <c r="GS268" s="124"/>
      <c r="GT268" s="124"/>
      <c r="GU268" s="124"/>
      <c r="GV268" s="124"/>
      <c r="GW268" s="124"/>
      <c r="GX268" s="124"/>
      <c r="GY268" s="124"/>
      <c r="GZ268" s="124"/>
      <c r="HA268" s="124"/>
      <c r="HB268" s="124"/>
      <c r="HC268" s="124"/>
      <c r="HD268" s="124"/>
      <c r="HE268" s="124"/>
      <c r="HF268" s="124"/>
      <c r="HG268" s="124"/>
      <c r="HH268" s="124"/>
      <c r="HI268" s="124"/>
      <c r="HJ268" s="124"/>
      <c r="HK268" s="124"/>
      <c r="HL268" s="124"/>
      <c r="HM268" s="124"/>
      <c r="HN268" s="124"/>
      <c r="HO268" s="124"/>
      <c r="HP268" s="124"/>
      <c r="HQ268" s="124"/>
      <c r="HR268" s="124"/>
      <c r="HS268" s="124"/>
      <c r="HT268" s="124"/>
      <c r="HU268" s="124"/>
      <c r="HV268" s="124"/>
      <c r="HW268" s="124"/>
      <c r="HX268" s="124"/>
      <c r="HY268" s="124"/>
      <c r="HZ268" s="124"/>
      <c r="IA268" s="124"/>
      <c r="IB268" s="124"/>
      <c r="IC268" s="124"/>
      <c r="ID268" s="124"/>
      <c r="IE268" s="124"/>
      <c r="IF268" s="124"/>
      <c r="IG268" s="124"/>
      <c r="IH268" s="124"/>
      <c r="II268" s="124"/>
      <c r="IJ268" s="124"/>
    </row>
    <row r="269" spans="1:244" ht="24" customHeight="1">
      <c r="A269" s="195"/>
      <c r="B269" s="197"/>
      <c r="C269" s="195"/>
      <c r="D269" s="196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200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  <c r="BO269" s="124"/>
      <c r="BP269" s="124"/>
      <c r="BQ269" s="124"/>
      <c r="BR269" s="124"/>
      <c r="BS269" s="124"/>
      <c r="BT269" s="124"/>
      <c r="BU269" s="124"/>
      <c r="BV269" s="124"/>
      <c r="BW269" s="124"/>
      <c r="BX269" s="124"/>
      <c r="BY269" s="124"/>
      <c r="BZ269" s="124"/>
      <c r="CA269" s="124"/>
      <c r="CB269" s="124"/>
      <c r="CC269" s="124"/>
      <c r="CD269" s="124"/>
      <c r="CE269" s="124"/>
      <c r="CF269" s="124"/>
      <c r="CG269" s="124"/>
      <c r="CH269" s="124"/>
      <c r="CI269" s="124"/>
      <c r="CJ269" s="124"/>
      <c r="CK269" s="124"/>
      <c r="CL269" s="124"/>
      <c r="CM269" s="124"/>
      <c r="CN269" s="124"/>
      <c r="CO269" s="124"/>
      <c r="CP269" s="124"/>
      <c r="CQ269" s="124"/>
      <c r="CR269" s="124"/>
      <c r="CS269" s="124"/>
      <c r="CT269" s="124"/>
      <c r="CU269" s="124"/>
      <c r="CV269" s="124"/>
      <c r="CW269" s="124"/>
      <c r="CX269" s="124"/>
      <c r="CY269" s="124"/>
      <c r="CZ269" s="124"/>
      <c r="DA269" s="124"/>
      <c r="DB269" s="124"/>
      <c r="DC269" s="124"/>
      <c r="DD269" s="124"/>
      <c r="DE269" s="124"/>
      <c r="DF269" s="124"/>
      <c r="DG269" s="124"/>
      <c r="DH269" s="124"/>
      <c r="DI269" s="124"/>
      <c r="DJ269" s="124"/>
      <c r="DK269" s="124"/>
      <c r="DL269" s="124"/>
      <c r="DM269" s="124"/>
      <c r="DN269" s="124"/>
      <c r="DO269" s="124"/>
      <c r="DP269" s="124"/>
      <c r="DQ269" s="124"/>
      <c r="DR269" s="124"/>
      <c r="DS269" s="124"/>
      <c r="DT269" s="124"/>
      <c r="DU269" s="124"/>
      <c r="DV269" s="124"/>
      <c r="DW269" s="124"/>
      <c r="DX269" s="124"/>
      <c r="DY269" s="124"/>
      <c r="DZ269" s="124"/>
      <c r="EA269" s="124"/>
      <c r="EB269" s="124"/>
      <c r="EC269" s="124"/>
      <c r="ED269" s="124"/>
      <c r="EE269" s="124"/>
      <c r="EF269" s="124"/>
      <c r="EG269" s="124"/>
      <c r="EH269" s="124"/>
      <c r="EI269" s="124"/>
      <c r="EJ269" s="124"/>
      <c r="EK269" s="124"/>
      <c r="EL269" s="124"/>
      <c r="EM269" s="124"/>
      <c r="EN269" s="124"/>
      <c r="EO269" s="124"/>
      <c r="EP269" s="124"/>
      <c r="EQ269" s="124"/>
      <c r="ER269" s="124"/>
      <c r="ES269" s="124"/>
      <c r="ET269" s="124"/>
      <c r="EU269" s="124"/>
      <c r="EV269" s="124"/>
      <c r="EW269" s="124"/>
      <c r="EX269" s="124"/>
      <c r="EY269" s="124"/>
      <c r="EZ269" s="124"/>
      <c r="FA269" s="124"/>
      <c r="FB269" s="124"/>
      <c r="FC269" s="124"/>
      <c r="FD269" s="124"/>
      <c r="FE269" s="124"/>
      <c r="FF269" s="124"/>
      <c r="FG269" s="124"/>
      <c r="FH269" s="124"/>
      <c r="FI269" s="124"/>
      <c r="FJ269" s="124"/>
      <c r="FK269" s="124"/>
      <c r="FL269" s="124"/>
      <c r="FM269" s="124"/>
      <c r="FN269" s="124"/>
      <c r="FO269" s="124"/>
      <c r="FP269" s="124"/>
      <c r="FQ269" s="124"/>
      <c r="FR269" s="124"/>
      <c r="FS269" s="124"/>
      <c r="FT269" s="124"/>
      <c r="FU269" s="124"/>
      <c r="FV269" s="124"/>
      <c r="FW269" s="124"/>
      <c r="FX269" s="124"/>
      <c r="FY269" s="124"/>
      <c r="FZ269" s="124"/>
      <c r="GA269" s="124"/>
      <c r="GB269" s="124"/>
      <c r="GC269" s="124"/>
      <c r="GD269" s="124"/>
      <c r="GE269" s="124"/>
      <c r="GF269" s="124"/>
      <c r="GG269" s="124"/>
      <c r="GH269" s="124"/>
      <c r="GI269" s="124"/>
      <c r="GJ269" s="124"/>
      <c r="GK269" s="124"/>
      <c r="GL269" s="124"/>
      <c r="GM269" s="124"/>
      <c r="GN269" s="124"/>
      <c r="GO269" s="124"/>
      <c r="GP269" s="124"/>
      <c r="GQ269" s="124"/>
      <c r="GR269" s="124"/>
      <c r="GS269" s="124"/>
      <c r="GT269" s="124"/>
      <c r="GU269" s="124"/>
      <c r="GV269" s="124"/>
      <c r="GW269" s="124"/>
      <c r="GX269" s="124"/>
      <c r="GY269" s="124"/>
      <c r="GZ269" s="124"/>
      <c r="HA269" s="124"/>
      <c r="HB269" s="124"/>
      <c r="HC269" s="124"/>
      <c r="HD269" s="124"/>
      <c r="HE269" s="124"/>
      <c r="HF269" s="124"/>
      <c r="HG269" s="124"/>
      <c r="HH269" s="124"/>
      <c r="HI269" s="124"/>
      <c r="HJ269" s="124"/>
      <c r="HK269" s="124"/>
      <c r="HL269" s="124"/>
      <c r="HM269" s="124"/>
      <c r="HN269" s="124"/>
      <c r="HO269" s="124"/>
      <c r="HP269" s="124"/>
      <c r="HQ269" s="124"/>
      <c r="HR269" s="124"/>
      <c r="HS269" s="124"/>
      <c r="HT269" s="124"/>
      <c r="HU269" s="124"/>
      <c r="HV269" s="124"/>
      <c r="HW269" s="124"/>
      <c r="HX269" s="124"/>
      <c r="HY269" s="124"/>
      <c r="HZ269" s="124"/>
      <c r="IA269" s="124"/>
      <c r="IB269" s="124"/>
      <c r="IC269" s="124"/>
      <c r="ID269" s="124"/>
      <c r="IE269" s="124"/>
      <c r="IF269" s="124"/>
      <c r="IG269" s="124"/>
      <c r="IH269" s="124"/>
      <c r="II269" s="124"/>
      <c r="IJ269" s="124"/>
    </row>
    <row r="270" spans="1:244" ht="24" customHeight="1">
      <c r="A270" s="195"/>
      <c r="B270" s="197"/>
      <c r="C270" s="195"/>
      <c r="D270" s="196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200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  <c r="BO270" s="124"/>
      <c r="BP270" s="124"/>
      <c r="BQ270" s="124"/>
      <c r="BR270" s="124"/>
      <c r="BS270" s="124"/>
      <c r="BT270" s="124"/>
      <c r="BU270" s="124"/>
      <c r="BV270" s="124"/>
      <c r="BW270" s="124"/>
      <c r="BX270" s="124"/>
      <c r="BY270" s="124"/>
      <c r="BZ270" s="124"/>
      <c r="CA270" s="124"/>
      <c r="CB270" s="124"/>
      <c r="CC270" s="124"/>
      <c r="CD270" s="124"/>
      <c r="CE270" s="124"/>
      <c r="CF270" s="124"/>
      <c r="CG270" s="124"/>
      <c r="CH270" s="124"/>
      <c r="CI270" s="124"/>
      <c r="CJ270" s="124"/>
      <c r="CK270" s="124"/>
      <c r="CL270" s="124"/>
      <c r="CM270" s="124"/>
      <c r="CN270" s="124"/>
      <c r="CO270" s="124"/>
      <c r="CP270" s="124"/>
      <c r="CQ270" s="124"/>
      <c r="CR270" s="124"/>
      <c r="CS270" s="124"/>
      <c r="CT270" s="124"/>
      <c r="CU270" s="124"/>
      <c r="CV270" s="124"/>
      <c r="CW270" s="124"/>
      <c r="CX270" s="124"/>
      <c r="CY270" s="124"/>
      <c r="CZ270" s="124"/>
      <c r="DA270" s="124"/>
      <c r="DB270" s="124"/>
      <c r="DC270" s="124"/>
      <c r="DD270" s="124"/>
      <c r="DE270" s="124"/>
      <c r="DF270" s="124"/>
      <c r="DG270" s="124"/>
      <c r="DH270" s="124"/>
      <c r="DI270" s="124"/>
      <c r="DJ270" s="124"/>
      <c r="DK270" s="124"/>
      <c r="DL270" s="124"/>
      <c r="DM270" s="124"/>
      <c r="DN270" s="124"/>
      <c r="DO270" s="124"/>
      <c r="DP270" s="124"/>
      <c r="DQ270" s="124"/>
      <c r="DR270" s="124"/>
      <c r="DS270" s="124"/>
      <c r="DT270" s="124"/>
      <c r="DU270" s="124"/>
      <c r="DV270" s="124"/>
      <c r="DW270" s="124"/>
      <c r="DX270" s="124"/>
      <c r="DY270" s="124"/>
      <c r="DZ270" s="124"/>
      <c r="EA270" s="124"/>
      <c r="EB270" s="124"/>
      <c r="EC270" s="124"/>
      <c r="ED270" s="124"/>
      <c r="EE270" s="124"/>
      <c r="EF270" s="124"/>
      <c r="EG270" s="124"/>
      <c r="EH270" s="124"/>
      <c r="EI270" s="124"/>
      <c r="EJ270" s="124"/>
      <c r="EK270" s="124"/>
      <c r="EL270" s="124"/>
      <c r="EM270" s="124"/>
      <c r="EN270" s="124"/>
      <c r="EO270" s="124"/>
      <c r="EP270" s="124"/>
      <c r="EQ270" s="124"/>
      <c r="ER270" s="124"/>
      <c r="ES270" s="124"/>
      <c r="ET270" s="124"/>
      <c r="EU270" s="124"/>
      <c r="EV270" s="124"/>
      <c r="EW270" s="124"/>
      <c r="EX270" s="124"/>
      <c r="EY270" s="124"/>
      <c r="EZ270" s="124"/>
      <c r="FA270" s="124"/>
      <c r="FB270" s="124"/>
      <c r="FC270" s="124"/>
      <c r="FD270" s="124"/>
      <c r="FE270" s="124"/>
      <c r="FF270" s="124"/>
      <c r="FG270" s="124"/>
      <c r="FH270" s="124"/>
      <c r="FI270" s="124"/>
      <c r="FJ270" s="124"/>
      <c r="FK270" s="124"/>
      <c r="FL270" s="124"/>
      <c r="FM270" s="124"/>
      <c r="FN270" s="124"/>
      <c r="FO270" s="124"/>
      <c r="FP270" s="124"/>
      <c r="FQ270" s="124"/>
      <c r="FR270" s="124"/>
      <c r="FS270" s="124"/>
      <c r="FT270" s="124"/>
      <c r="FU270" s="124"/>
      <c r="FV270" s="124"/>
      <c r="FW270" s="124"/>
      <c r="FX270" s="124"/>
      <c r="FY270" s="124"/>
      <c r="FZ270" s="124"/>
      <c r="GA270" s="124"/>
      <c r="GB270" s="124"/>
      <c r="GC270" s="124"/>
      <c r="GD270" s="124"/>
      <c r="GE270" s="124"/>
      <c r="GF270" s="124"/>
      <c r="GG270" s="124"/>
      <c r="GH270" s="124"/>
      <c r="GI270" s="124"/>
      <c r="GJ270" s="124"/>
      <c r="GK270" s="124"/>
      <c r="GL270" s="124"/>
      <c r="GM270" s="124"/>
      <c r="GN270" s="124"/>
      <c r="GO270" s="124"/>
      <c r="GP270" s="124"/>
      <c r="GQ270" s="124"/>
      <c r="GR270" s="124"/>
      <c r="GS270" s="124"/>
      <c r="GT270" s="124"/>
      <c r="GU270" s="124"/>
      <c r="GV270" s="124"/>
      <c r="GW270" s="124"/>
      <c r="GX270" s="124"/>
      <c r="GY270" s="124"/>
      <c r="GZ270" s="124"/>
      <c r="HA270" s="124"/>
      <c r="HB270" s="124"/>
      <c r="HC270" s="124"/>
      <c r="HD270" s="124"/>
      <c r="HE270" s="124"/>
      <c r="HF270" s="124"/>
      <c r="HG270" s="124"/>
      <c r="HH270" s="124"/>
      <c r="HI270" s="124"/>
      <c r="HJ270" s="124"/>
      <c r="HK270" s="124"/>
      <c r="HL270" s="124"/>
      <c r="HM270" s="124"/>
      <c r="HN270" s="124"/>
      <c r="HO270" s="124"/>
      <c r="HP270" s="124"/>
      <c r="HQ270" s="124"/>
      <c r="HR270" s="124"/>
      <c r="HS270" s="124"/>
      <c r="HT270" s="124"/>
      <c r="HU270" s="124"/>
      <c r="HV270" s="124"/>
      <c r="HW270" s="124"/>
      <c r="HX270" s="124"/>
      <c r="HY270" s="124"/>
      <c r="HZ270" s="124"/>
      <c r="IA270" s="124"/>
      <c r="IB270" s="124"/>
      <c r="IC270" s="124"/>
      <c r="ID270" s="124"/>
      <c r="IE270" s="124"/>
      <c r="IF270" s="124"/>
      <c r="IG270" s="124"/>
      <c r="IH270" s="124"/>
      <c r="II270" s="124"/>
      <c r="IJ270" s="124"/>
    </row>
    <row r="271" spans="1:244" ht="24" customHeight="1">
      <c r="A271" s="195"/>
      <c r="B271" s="197"/>
      <c r="C271" s="195"/>
      <c r="D271" s="196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200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  <c r="BO271" s="124"/>
      <c r="BP271" s="124"/>
      <c r="BQ271" s="124"/>
      <c r="BR271" s="124"/>
      <c r="BS271" s="124"/>
      <c r="BT271" s="124"/>
      <c r="BU271" s="124"/>
      <c r="BV271" s="124"/>
      <c r="BW271" s="124"/>
      <c r="BX271" s="124"/>
      <c r="BY271" s="124"/>
      <c r="BZ271" s="124"/>
      <c r="CA271" s="124"/>
      <c r="CB271" s="124"/>
      <c r="CC271" s="124"/>
      <c r="CD271" s="124"/>
      <c r="CE271" s="124"/>
      <c r="CF271" s="124"/>
      <c r="CG271" s="124"/>
      <c r="CH271" s="124"/>
      <c r="CI271" s="124"/>
      <c r="CJ271" s="124"/>
      <c r="CK271" s="124"/>
      <c r="CL271" s="124"/>
      <c r="CM271" s="124"/>
      <c r="CN271" s="124"/>
      <c r="CO271" s="124"/>
      <c r="CP271" s="124"/>
      <c r="CQ271" s="124"/>
      <c r="CR271" s="124"/>
      <c r="CS271" s="124"/>
      <c r="CT271" s="124"/>
      <c r="CU271" s="124"/>
      <c r="CV271" s="124"/>
      <c r="CW271" s="124"/>
      <c r="CX271" s="124"/>
      <c r="CY271" s="124"/>
      <c r="CZ271" s="124"/>
      <c r="DA271" s="124"/>
      <c r="DB271" s="124"/>
      <c r="DC271" s="124"/>
      <c r="DD271" s="124"/>
      <c r="DE271" s="124"/>
      <c r="DF271" s="124"/>
      <c r="DG271" s="124"/>
      <c r="DH271" s="124"/>
      <c r="DI271" s="124"/>
      <c r="DJ271" s="124"/>
      <c r="DK271" s="124"/>
      <c r="DL271" s="124"/>
      <c r="DM271" s="124"/>
      <c r="DN271" s="124"/>
      <c r="DO271" s="124"/>
      <c r="DP271" s="124"/>
      <c r="DQ271" s="124"/>
      <c r="DR271" s="124"/>
      <c r="DS271" s="124"/>
      <c r="DT271" s="124"/>
      <c r="DU271" s="124"/>
      <c r="DV271" s="124"/>
      <c r="DW271" s="124"/>
      <c r="DX271" s="124"/>
      <c r="DY271" s="124"/>
      <c r="DZ271" s="124"/>
      <c r="EA271" s="124"/>
      <c r="EB271" s="124"/>
      <c r="EC271" s="124"/>
      <c r="ED271" s="124"/>
      <c r="EE271" s="124"/>
      <c r="EF271" s="124"/>
      <c r="EG271" s="124"/>
      <c r="EH271" s="124"/>
      <c r="EI271" s="124"/>
      <c r="EJ271" s="124"/>
      <c r="EK271" s="124"/>
      <c r="EL271" s="124"/>
      <c r="EM271" s="124"/>
      <c r="EN271" s="124"/>
      <c r="EO271" s="124"/>
      <c r="EP271" s="124"/>
      <c r="EQ271" s="124"/>
      <c r="ER271" s="124"/>
      <c r="ES271" s="124"/>
      <c r="ET271" s="124"/>
      <c r="EU271" s="124"/>
      <c r="EV271" s="124"/>
      <c r="EW271" s="124"/>
      <c r="EX271" s="124"/>
      <c r="EY271" s="124"/>
      <c r="EZ271" s="124"/>
      <c r="FA271" s="124"/>
      <c r="FB271" s="124"/>
      <c r="FC271" s="124"/>
      <c r="FD271" s="124"/>
      <c r="FE271" s="124"/>
      <c r="FF271" s="124"/>
      <c r="FG271" s="124"/>
      <c r="FH271" s="124"/>
      <c r="FI271" s="124"/>
      <c r="FJ271" s="124"/>
      <c r="FK271" s="124"/>
      <c r="FL271" s="124"/>
      <c r="FM271" s="124"/>
      <c r="FN271" s="124"/>
      <c r="FO271" s="124"/>
      <c r="FP271" s="124"/>
      <c r="FQ271" s="124"/>
      <c r="FR271" s="124"/>
      <c r="FS271" s="124"/>
      <c r="FT271" s="124"/>
      <c r="FU271" s="124"/>
      <c r="FV271" s="124"/>
      <c r="FW271" s="124"/>
      <c r="FX271" s="124"/>
      <c r="FY271" s="124"/>
      <c r="FZ271" s="124"/>
      <c r="GA271" s="124"/>
      <c r="GB271" s="124"/>
      <c r="GC271" s="124"/>
      <c r="GD271" s="124"/>
      <c r="GE271" s="124"/>
      <c r="GF271" s="124"/>
      <c r="GG271" s="124"/>
      <c r="GH271" s="124"/>
      <c r="GI271" s="124"/>
      <c r="GJ271" s="124"/>
      <c r="GK271" s="124"/>
      <c r="GL271" s="124"/>
      <c r="GM271" s="124"/>
      <c r="GN271" s="124"/>
      <c r="GO271" s="124"/>
      <c r="GP271" s="124"/>
      <c r="GQ271" s="124"/>
      <c r="GR271" s="124"/>
      <c r="GS271" s="124"/>
      <c r="GT271" s="124"/>
      <c r="GU271" s="124"/>
      <c r="GV271" s="124"/>
      <c r="GW271" s="124"/>
      <c r="GX271" s="124"/>
      <c r="GY271" s="124"/>
      <c r="GZ271" s="124"/>
      <c r="HA271" s="124"/>
      <c r="HB271" s="124"/>
      <c r="HC271" s="124"/>
      <c r="HD271" s="124"/>
      <c r="HE271" s="124"/>
      <c r="HF271" s="124"/>
      <c r="HG271" s="124"/>
      <c r="HH271" s="124"/>
      <c r="HI271" s="124"/>
      <c r="HJ271" s="124"/>
      <c r="HK271" s="124"/>
      <c r="HL271" s="124"/>
      <c r="HM271" s="124"/>
      <c r="HN271" s="124"/>
      <c r="HO271" s="124"/>
      <c r="HP271" s="124"/>
      <c r="HQ271" s="124"/>
      <c r="HR271" s="124"/>
      <c r="HS271" s="124"/>
      <c r="HT271" s="124"/>
      <c r="HU271" s="124"/>
      <c r="HV271" s="124"/>
      <c r="HW271" s="124"/>
      <c r="HX271" s="124"/>
      <c r="HY271" s="124"/>
      <c r="HZ271" s="124"/>
      <c r="IA271" s="124"/>
      <c r="IB271" s="124"/>
      <c r="IC271" s="124"/>
      <c r="ID271" s="124"/>
      <c r="IE271" s="124"/>
      <c r="IF271" s="124"/>
      <c r="IG271" s="124"/>
      <c r="IH271" s="124"/>
      <c r="II271" s="124"/>
      <c r="IJ271" s="124"/>
    </row>
    <row r="272" spans="1:244" ht="24" customHeight="1">
      <c r="A272" s="195"/>
      <c r="B272" s="197"/>
      <c r="C272" s="195"/>
      <c r="D272" s="196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200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  <c r="BO272" s="124"/>
      <c r="BP272" s="124"/>
      <c r="BQ272" s="124"/>
      <c r="BR272" s="124"/>
      <c r="BS272" s="124"/>
      <c r="BT272" s="124"/>
      <c r="BU272" s="124"/>
      <c r="BV272" s="124"/>
      <c r="BW272" s="124"/>
      <c r="BX272" s="124"/>
      <c r="BY272" s="124"/>
      <c r="BZ272" s="124"/>
      <c r="CA272" s="124"/>
      <c r="CB272" s="124"/>
      <c r="CC272" s="124"/>
      <c r="CD272" s="124"/>
      <c r="CE272" s="124"/>
      <c r="CF272" s="124"/>
      <c r="CG272" s="124"/>
      <c r="CH272" s="124"/>
      <c r="CI272" s="124"/>
      <c r="CJ272" s="124"/>
      <c r="CK272" s="124"/>
      <c r="CL272" s="124"/>
      <c r="CM272" s="124"/>
      <c r="CN272" s="124"/>
      <c r="CO272" s="124"/>
      <c r="CP272" s="124"/>
      <c r="CQ272" s="124"/>
      <c r="CR272" s="124"/>
      <c r="CS272" s="124"/>
      <c r="CT272" s="124"/>
      <c r="CU272" s="124"/>
      <c r="CV272" s="124"/>
      <c r="CW272" s="124"/>
      <c r="CX272" s="124"/>
      <c r="CY272" s="124"/>
      <c r="CZ272" s="124"/>
      <c r="DA272" s="124"/>
      <c r="DB272" s="124"/>
      <c r="DC272" s="124"/>
      <c r="DD272" s="124"/>
      <c r="DE272" s="124"/>
      <c r="DF272" s="124"/>
      <c r="DG272" s="124"/>
      <c r="DH272" s="124"/>
      <c r="DI272" s="124"/>
      <c r="DJ272" s="124"/>
      <c r="DK272" s="124"/>
      <c r="DL272" s="124"/>
      <c r="DM272" s="124"/>
      <c r="DN272" s="124"/>
      <c r="DO272" s="124"/>
      <c r="DP272" s="124"/>
      <c r="DQ272" s="124"/>
      <c r="DR272" s="124"/>
      <c r="DS272" s="124"/>
      <c r="DT272" s="124"/>
      <c r="DU272" s="124"/>
      <c r="DV272" s="124"/>
      <c r="DW272" s="124"/>
      <c r="DX272" s="124"/>
      <c r="DY272" s="124"/>
      <c r="DZ272" s="124"/>
      <c r="EA272" s="124"/>
      <c r="EB272" s="124"/>
      <c r="EC272" s="124"/>
      <c r="ED272" s="124"/>
      <c r="EE272" s="124"/>
      <c r="EF272" s="124"/>
      <c r="EG272" s="124"/>
      <c r="EH272" s="124"/>
      <c r="EI272" s="124"/>
      <c r="EJ272" s="124"/>
      <c r="EK272" s="124"/>
      <c r="EL272" s="124"/>
      <c r="EM272" s="124"/>
      <c r="EN272" s="124"/>
      <c r="EO272" s="124"/>
      <c r="EP272" s="124"/>
      <c r="EQ272" s="124"/>
      <c r="ER272" s="124"/>
      <c r="ES272" s="124"/>
      <c r="ET272" s="124"/>
      <c r="EU272" s="124"/>
      <c r="EV272" s="124"/>
      <c r="EW272" s="124"/>
      <c r="EX272" s="124"/>
      <c r="EY272" s="124"/>
      <c r="EZ272" s="124"/>
      <c r="FA272" s="124"/>
      <c r="FB272" s="124"/>
      <c r="FC272" s="124"/>
      <c r="FD272" s="124"/>
      <c r="FE272" s="124"/>
      <c r="FF272" s="124"/>
      <c r="FG272" s="124"/>
      <c r="FH272" s="124"/>
      <c r="FI272" s="124"/>
      <c r="FJ272" s="124"/>
      <c r="FK272" s="124"/>
      <c r="FL272" s="124"/>
      <c r="FM272" s="124"/>
      <c r="FN272" s="124"/>
      <c r="FO272" s="124"/>
      <c r="FP272" s="124"/>
      <c r="FQ272" s="124"/>
      <c r="FR272" s="124"/>
      <c r="FS272" s="124"/>
      <c r="FT272" s="124"/>
      <c r="FU272" s="124"/>
      <c r="FV272" s="124"/>
      <c r="FW272" s="124"/>
      <c r="FX272" s="124"/>
      <c r="FY272" s="124"/>
      <c r="FZ272" s="124"/>
      <c r="GA272" s="124"/>
      <c r="GB272" s="124"/>
      <c r="GC272" s="124"/>
      <c r="GD272" s="124"/>
      <c r="GE272" s="124"/>
      <c r="GF272" s="124"/>
      <c r="GG272" s="124"/>
      <c r="GH272" s="124"/>
      <c r="GI272" s="124"/>
      <c r="GJ272" s="124"/>
      <c r="GK272" s="124"/>
      <c r="GL272" s="124"/>
      <c r="GM272" s="124"/>
      <c r="GN272" s="124"/>
      <c r="GO272" s="124"/>
      <c r="GP272" s="124"/>
      <c r="GQ272" s="124"/>
      <c r="GR272" s="124"/>
      <c r="GS272" s="124"/>
      <c r="GT272" s="124"/>
      <c r="GU272" s="124"/>
      <c r="GV272" s="124"/>
      <c r="GW272" s="124"/>
      <c r="GX272" s="124"/>
      <c r="GY272" s="124"/>
      <c r="GZ272" s="124"/>
      <c r="HA272" s="124"/>
      <c r="HB272" s="124"/>
      <c r="HC272" s="124"/>
      <c r="HD272" s="124"/>
      <c r="HE272" s="124"/>
      <c r="HF272" s="124"/>
      <c r="HG272" s="124"/>
      <c r="HH272" s="124"/>
      <c r="HI272" s="124"/>
      <c r="HJ272" s="124"/>
      <c r="HK272" s="124"/>
      <c r="HL272" s="124"/>
      <c r="HM272" s="124"/>
      <c r="HN272" s="124"/>
      <c r="HO272" s="124"/>
      <c r="HP272" s="124"/>
      <c r="HQ272" s="124"/>
      <c r="HR272" s="124"/>
      <c r="HS272" s="124"/>
      <c r="HT272" s="124"/>
      <c r="HU272" s="124"/>
      <c r="HV272" s="124"/>
      <c r="HW272" s="124"/>
      <c r="HX272" s="124"/>
      <c r="HY272" s="124"/>
      <c r="HZ272" s="124"/>
      <c r="IA272" s="124"/>
      <c r="IB272" s="124"/>
      <c r="IC272" s="124"/>
      <c r="ID272" s="124"/>
      <c r="IE272" s="124"/>
      <c r="IF272" s="124"/>
      <c r="IG272" s="124"/>
      <c r="IH272" s="124"/>
      <c r="II272" s="124"/>
      <c r="IJ272" s="124"/>
    </row>
    <row r="273" spans="1:244" ht="24" customHeight="1">
      <c r="A273" s="195"/>
      <c r="B273" s="197"/>
      <c r="C273" s="195"/>
      <c r="D273" s="196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200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  <c r="BO273" s="124"/>
      <c r="BP273" s="124"/>
      <c r="BQ273" s="124"/>
      <c r="BR273" s="124"/>
      <c r="BS273" s="124"/>
      <c r="BT273" s="124"/>
      <c r="BU273" s="124"/>
      <c r="BV273" s="124"/>
      <c r="BW273" s="124"/>
      <c r="BX273" s="124"/>
      <c r="BY273" s="124"/>
      <c r="BZ273" s="124"/>
      <c r="CA273" s="124"/>
      <c r="CB273" s="124"/>
      <c r="CC273" s="124"/>
      <c r="CD273" s="124"/>
      <c r="CE273" s="124"/>
      <c r="CF273" s="124"/>
      <c r="CG273" s="124"/>
      <c r="CH273" s="124"/>
      <c r="CI273" s="124"/>
      <c r="CJ273" s="124"/>
      <c r="CK273" s="124"/>
      <c r="CL273" s="124"/>
      <c r="CM273" s="124"/>
      <c r="CN273" s="124"/>
      <c r="CO273" s="124"/>
      <c r="CP273" s="124"/>
      <c r="CQ273" s="124"/>
      <c r="CR273" s="124"/>
      <c r="CS273" s="124"/>
      <c r="CT273" s="124"/>
      <c r="CU273" s="124"/>
      <c r="CV273" s="124"/>
      <c r="CW273" s="124"/>
      <c r="CX273" s="124"/>
      <c r="CY273" s="124"/>
      <c r="CZ273" s="124"/>
      <c r="DA273" s="124"/>
      <c r="DB273" s="124"/>
      <c r="DC273" s="124"/>
      <c r="DD273" s="124"/>
      <c r="DE273" s="124"/>
      <c r="DF273" s="124"/>
      <c r="DG273" s="124"/>
      <c r="DH273" s="124"/>
      <c r="DI273" s="124"/>
      <c r="DJ273" s="124"/>
      <c r="DK273" s="124"/>
      <c r="DL273" s="124"/>
      <c r="DM273" s="124"/>
      <c r="DN273" s="124"/>
      <c r="DO273" s="124"/>
      <c r="DP273" s="124"/>
      <c r="DQ273" s="124"/>
      <c r="DR273" s="124"/>
      <c r="DS273" s="124"/>
      <c r="DT273" s="124"/>
      <c r="DU273" s="124"/>
      <c r="DV273" s="124"/>
      <c r="DW273" s="124"/>
      <c r="DX273" s="124"/>
      <c r="DY273" s="124"/>
      <c r="DZ273" s="124"/>
      <c r="EA273" s="124"/>
      <c r="EB273" s="124"/>
      <c r="EC273" s="124"/>
      <c r="ED273" s="124"/>
      <c r="EE273" s="124"/>
      <c r="EF273" s="124"/>
      <c r="EG273" s="124"/>
      <c r="EH273" s="124"/>
      <c r="EI273" s="124"/>
      <c r="EJ273" s="124"/>
      <c r="EK273" s="124"/>
      <c r="EL273" s="124"/>
      <c r="EM273" s="124"/>
      <c r="EN273" s="124"/>
      <c r="EO273" s="124"/>
      <c r="EP273" s="124"/>
      <c r="EQ273" s="124"/>
      <c r="ER273" s="124"/>
      <c r="ES273" s="124"/>
      <c r="ET273" s="124"/>
      <c r="EU273" s="124"/>
      <c r="EV273" s="124"/>
      <c r="EW273" s="124"/>
      <c r="EX273" s="124"/>
      <c r="EY273" s="124"/>
      <c r="EZ273" s="124"/>
      <c r="FA273" s="124"/>
      <c r="FB273" s="124"/>
      <c r="FC273" s="124"/>
      <c r="FD273" s="124"/>
      <c r="FE273" s="124"/>
      <c r="FF273" s="124"/>
      <c r="FG273" s="124"/>
      <c r="FH273" s="124"/>
      <c r="FI273" s="124"/>
      <c r="FJ273" s="124"/>
      <c r="FK273" s="124"/>
      <c r="FL273" s="124"/>
      <c r="FM273" s="124"/>
      <c r="FN273" s="124"/>
      <c r="FO273" s="124"/>
      <c r="FP273" s="124"/>
      <c r="FQ273" s="124"/>
      <c r="FR273" s="124"/>
      <c r="FS273" s="124"/>
      <c r="FT273" s="124"/>
      <c r="FU273" s="124"/>
      <c r="FV273" s="124"/>
      <c r="FW273" s="124"/>
      <c r="FX273" s="124"/>
      <c r="FY273" s="124"/>
      <c r="FZ273" s="124"/>
      <c r="GA273" s="124"/>
      <c r="GB273" s="124"/>
      <c r="GC273" s="124"/>
      <c r="GD273" s="124"/>
      <c r="GE273" s="124"/>
      <c r="GF273" s="124"/>
      <c r="GG273" s="124"/>
      <c r="GH273" s="124"/>
      <c r="GI273" s="124"/>
      <c r="GJ273" s="124"/>
      <c r="GK273" s="124"/>
      <c r="GL273" s="124"/>
      <c r="GM273" s="124"/>
      <c r="GN273" s="124"/>
      <c r="GO273" s="124"/>
      <c r="GP273" s="124"/>
      <c r="GQ273" s="124"/>
      <c r="GR273" s="124"/>
      <c r="GS273" s="124"/>
      <c r="GT273" s="124"/>
      <c r="GU273" s="124"/>
      <c r="GV273" s="124"/>
      <c r="GW273" s="124"/>
      <c r="GX273" s="124"/>
      <c r="GY273" s="124"/>
      <c r="GZ273" s="124"/>
      <c r="HA273" s="124"/>
      <c r="HB273" s="124"/>
      <c r="HC273" s="124"/>
      <c r="HD273" s="124"/>
      <c r="HE273" s="124"/>
      <c r="HF273" s="124"/>
      <c r="HG273" s="124"/>
      <c r="HH273" s="124"/>
      <c r="HI273" s="124"/>
      <c r="HJ273" s="124"/>
      <c r="HK273" s="124"/>
      <c r="HL273" s="124"/>
      <c r="HM273" s="124"/>
      <c r="HN273" s="124"/>
      <c r="HO273" s="124"/>
      <c r="HP273" s="124"/>
      <c r="HQ273" s="124"/>
      <c r="HR273" s="124"/>
      <c r="HS273" s="124"/>
      <c r="HT273" s="124"/>
      <c r="HU273" s="124"/>
      <c r="HV273" s="124"/>
      <c r="HW273" s="124"/>
      <c r="HX273" s="124"/>
      <c r="HY273" s="124"/>
      <c r="HZ273" s="124"/>
      <c r="IA273" s="124"/>
      <c r="IB273" s="124"/>
      <c r="IC273" s="124"/>
      <c r="ID273" s="124"/>
      <c r="IE273" s="124"/>
      <c r="IF273" s="124"/>
      <c r="IG273" s="124"/>
      <c r="IH273" s="124"/>
      <c r="II273" s="124"/>
      <c r="IJ273" s="124"/>
    </row>
    <row r="274" spans="1:244" ht="24" customHeight="1">
      <c r="A274" s="195"/>
      <c r="B274" s="197"/>
      <c r="C274" s="195"/>
      <c r="D274" s="196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200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  <c r="BO274" s="124"/>
      <c r="BP274" s="124"/>
      <c r="BQ274" s="124"/>
      <c r="BR274" s="124"/>
      <c r="BS274" s="124"/>
      <c r="BT274" s="124"/>
      <c r="BU274" s="124"/>
      <c r="BV274" s="124"/>
      <c r="BW274" s="124"/>
      <c r="BX274" s="124"/>
      <c r="BY274" s="124"/>
      <c r="BZ274" s="124"/>
      <c r="CA274" s="124"/>
      <c r="CB274" s="124"/>
      <c r="CC274" s="124"/>
      <c r="CD274" s="124"/>
      <c r="CE274" s="124"/>
      <c r="CF274" s="124"/>
      <c r="CG274" s="124"/>
      <c r="CH274" s="124"/>
      <c r="CI274" s="124"/>
      <c r="CJ274" s="124"/>
      <c r="CK274" s="124"/>
      <c r="CL274" s="124"/>
      <c r="CM274" s="124"/>
      <c r="CN274" s="124"/>
      <c r="CO274" s="124"/>
      <c r="CP274" s="124"/>
      <c r="CQ274" s="124"/>
      <c r="CR274" s="124"/>
      <c r="CS274" s="124"/>
      <c r="CT274" s="124"/>
      <c r="CU274" s="124"/>
      <c r="CV274" s="124"/>
      <c r="CW274" s="124"/>
      <c r="CX274" s="124"/>
      <c r="CY274" s="124"/>
      <c r="CZ274" s="124"/>
      <c r="DA274" s="124"/>
      <c r="DB274" s="124"/>
      <c r="DC274" s="124"/>
      <c r="DD274" s="124"/>
      <c r="DE274" s="124"/>
      <c r="DF274" s="124"/>
      <c r="DG274" s="124"/>
      <c r="DH274" s="124"/>
      <c r="DI274" s="124"/>
      <c r="DJ274" s="124"/>
      <c r="DK274" s="124"/>
      <c r="DL274" s="124"/>
      <c r="DM274" s="124"/>
      <c r="DN274" s="124"/>
      <c r="DO274" s="124"/>
      <c r="DP274" s="124"/>
      <c r="DQ274" s="124"/>
      <c r="DR274" s="124"/>
      <c r="DS274" s="124"/>
      <c r="DT274" s="124"/>
      <c r="DU274" s="124"/>
      <c r="DV274" s="124"/>
      <c r="DW274" s="124"/>
      <c r="DX274" s="124"/>
      <c r="DY274" s="124"/>
      <c r="DZ274" s="124"/>
      <c r="EA274" s="124"/>
      <c r="EB274" s="124"/>
      <c r="EC274" s="124"/>
      <c r="ED274" s="124"/>
      <c r="EE274" s="124"/>
      <c r="EF274" s="124"/>
      <c r="EG274" s="124"/>
      <c r="EH274" s="124"/>
      <c r="EI274" s="124"/>
      <c r="EJ274" s="124"/>
      <c r="EK274" s="124"/>
      <c r="EL274" s="124"/>
      <c r="EM274" s="124"/>
      <c r="EN274" s="124"/>
      <c r="EO274" s="124"/>
      <c r="EP274" s="124"/>
      <c r="EQ274" s="124"/>
      <c r="ER274" s="124"/>
      <c r="ES274" s="124"/>
      <c r="ET274" s="124"/>
      <c r="EU274" s="124"/>
      <c r="EV274" s="124"/>
      <c r="EW274" s="124"/>
      <c r="EX274" s="124"/>
      <c r="EY274" s="124"/>
      <c r="EZ274" s="124"/>
      <c r="FA274" s="124"/>
      <c r="FB274" s="124"/>
      <c r="FC274" s="124"/>
      <c r="FD274" s="124"/>
      <c r="FE274" s="124"/>
      <c r="FF274" s="124"/>
      <c r="FG274" s="124"/>
      <c r="FH274" s="124"/>
      <c r="FI274" s="124"/>
      <c r="FJ274" s="124"/>
      <c r="FK274" s="124"/>
      <c r="FL274" s="124"/>
      <c r="FM274" s="124"/>
      <c r="FN274" s="124"/>
      <c r="FO274" s="124"/>
      <c r="FP274" s="124"/>
      <c r="FQ274" s="124"/>
      <c r="FR274" s="124"/>
      <c r="FS274" s="124"/>
      <c r="FT274" s="124"/>
      <c r="FU274" s="124"/>
      <c r="FV274" s="124"/>
      <c r="FW274" s="124"/>
      <c r="FX274" s="124"/>
      <c r="FY274" s="124"/>
      <c r="FZ274" s="124"/>
      <c r="GA274" s="124"/>
      <c r="GB274" s="124"/>
      <c r="GC274" s="124"/>
      <c r="GD274" s="124"/>
      <c r="GE274" s="124"/>
      <c r="GF274" s="124"/>
      <c r="GG274" s="124"/>
      <c r="GH274" s="124"/>
      <c r="GI274" s="124"/>
      <c r="GJ274" s="124"/>
      <c r="GK274" s="124"/>
      <c r="GL274" s="124"/>
      <c r="GM274" s="124"/>
      <c r="GN274" s="124"/>
      <c r="GO274" s="124"/>
      <c r="GP274" s="124"/>
      <c r="GQ274" s="124"/>
      <c r="GR274" s="124"/>
      <c r="GS274" s="124"/>
      <c r="GT274" s="124"/>
      <c r="GU274" s="124"/>
      <c r="GV274" s="124"/>
      <c r="GW274" s="124"/>
      <c r="GX274" s="124"/>
      <c r="GY274" s="124"/>
      <c r="GZ274" s="124"/>
      <c r="HA274" s="124"/>
      <c r="HB274" s="124"/>
      <c r="HC274" s="124"/>
      <c r="HD274" s="124"/>
      <c r="HE274" s="124"/>
      <c r="HF274" s="124"/>
      <c r="HG274" s="124"/>
      <c r="HH274" s="124"/>
      <c r="HI274" s="124"/>
      <c r="HJ274" s="124"/>
      <c r="HK274" s="124"/>
      <c r="HL274" s="124"/>
      <c r="HM274" s="124"/>
      <c r="HN274" s="124"/>
      <c r="HO274" s="124"/>
      <c r="HP274" s="124"/>
      <c r="HQ274" s="124"/>
      <c r="HR274" s="124"/>
      <c r="HS274" s="124"/>
      <c r="HT274" s="124"/>
      <c r="HU274" s="124"/>
      <c r="HV274" s="124"/>
      <c r="HW274" s="124"/>
      <c r="HX274" s="124"/>
      <c r="HY274" s="124"/>
      <c r="HZ274" s="124"/>
      <c r="IA274" s="124"/>
      <c r="IB274" s="124"/>
      <c r="IC274" s="124"/>
      <c r="ID274" s="124"/>
      <c r="IE274" s="124"/>
      <c r="IF274" s="124"/>
      <c r="IG274" s="124"/>
      <c r="IH274" s="124"/>
      <c r="II274" s="124"/>
      <c r="IJ274" s="124"/>
    </row>
    <row r="275" spans="1:244" ht="24" customHeight="1">
      <c r="A275" s="195"/>
      <c r="B275" s="197"/>
      <c r="C275" s="195"/>
      <c r="D275" s="196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200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  <c r="BO275" s="124"/>
      <c r="BP275" s="124"/>
      <c r="BQ275" s="124"/>
      <c r="BR275" s="124"/>
      <c r="BS275" s="124"/>
      <c r="BT275" s="124"/>
      <c r="BU275" s="124"/>
      <c r="BV275" s="124"/>
      <c r="BW275" s="124"/>
      <c r="BX275" s="124"/>
      <c r="BY275" s="124"/>
      <c r="BZ275" s="124"/>
      <c r="CA275" s="124"/>
      <c r="CB275" s="124"/>
      <c r="CC275" s="124"/>
      <c r="CD275" s="124"/>
      <c r="CE275" s="124"/>
      <c r="CF275" s="124"/>
      <c r="CG275" s="124"/>
      <c r="CH275" s="124"/>
      <c r="CI275" s="124"/>
      <c r="CJ275" s="124"/>
      <c r="CK275" s="124"/>
      <c r="CL275" s="124"/>
      <c r="CM275" s="124"/>
      <c r="CN275" s="124"/>
      <c r="CO275" s="124"/>
      <c r="CP275" s="124"/>
      <c r="CQ275" s="124"/>
      <c r="CR275" s="124"/>
      <c r="CS275" s="124"/>
      <c r="CT275" s="124"/>
      <c r="CU275" s="124"/>
      <c r="CV275" s="124"/>
      <c r="CW275" s="124"/>
      <c r="CX275" s="124"/>
      <c r="CY275" s="124"/>
      <c r="CZ275" s="124"/>
      <c r="DA275" s="124"/>
      <c r="DB275" s="124"/>
      <c r="DC275" s="124"/>
      <c r="DD275" s="124"/>
      <c r="DE275" s="124"/>
      <c r="DF275" s="124"/>
      <c r="DG275" s="124"/>
      <c r="DH275" s="124"/>
      <c r="DI275" s="124"/>
      <c r="DJ275" s="124"/>
      <c r="DK275" s="124"/>
      <c r="DL275" s="124"/>
      <c r="DM275" s="124"/>
      <c r="DN275" s="124"/>
      <c r="DO275" s="124"/>
      <c r="DP275" s="124"/>
      <c r="DQ275" s="124"/>
      <c r="DR275" s="124"/>
      <c r="DS275" s="124"/>
      <c r="DT275" s="124"/>
      <c r="DU275" s="124"/>
      <c r="DV275" s="124"/>
      <c r="DW275" s="124"/>
      <c r="DX275" s="124"/>
      <c r="DY275" s="124"/>
      <c r="DZ275" s="124"/>
      <c r="EA275" s="124"/>
      <c r="EB275" s="124"/>
      <c r="EC275" s="124"/>
      <c r="ED275" s="124"/>
      <c r="EE275" s="124"/>
      <c r="EF275" s="124"/>
      <c r="EG275" s="124"/>
      <c r="EH275" s="124"/>
      <c r="EI275" s="124"/>
      <c r="EJ275" s="124"/>
      <c r="EK275" s="124"/>
      <c r="EL275" s="124"/>
      <c r="EM275" s="124"/>
      <c r="EN275" s="124"/>
      <c r="EO275" s="124"/>
      <c r="EP275" s="124"/>
      <c r="EQ275" s="124"/>
      <c r="ER275" s="124"/>
      <c r="ES275" s="124"/>
      <c r="ET275" s="124"/>
      <c r="EU275" s="124"/>
      <c r="EV275" s="124"/>
      <c r="EW275" s="124"/>
      <c r="EX275" s="124"/>
      <c r="EY275" s="124"/>
      <c r="EZ275" s="124"/>
      <c r="FA275" s="124"/>
      <c r="FB275" s="124"/>
      <c r="FC275" s="124"/>
      <c r="FD275" s="124"/>
      <c r="FE275" s="124"/>
      <c r="FF275" s="124"/>
      <c r="FG275" s="124"/>
      <c r="FH275" s="124"/>
      <c r="FI275" s="124"/>
      <c r="FJ275" s="124"/>
      <c r="FK275" s="124"/>
      <c r="FL275" s="124"/>
      <c r="FM275" s="124"/>
      <c r="FN275" s="124"/>
      <c r="FO275" s="124"/>
      <c r="FP275" s="124"/>
      <c r="FQ275" s="124"/>
      <c r="FR275" s="124"/>
      <c r="FS275" s="124"/>
      <c r="FT275" s="124"/>
      <c r="FU275" s="124"/>
      <c r="FV275" s="124"/>
      <c r="FW275" s="124"/>
      <c r="FX275" s="124"/>
      <c r="FY275" s="124"/>
      <c r="FZ275" s="124"/>
      <c r="GA275" s="124"/>
      <c r="GB275" s="124"/>
      <c r="GC275" s="124"/>
      <c r="GD275" s="124"/>
      <c r="GE275" s="124"/>
      <c r="GF275" s="124"/>
      <c r="GG275" s="124"/>
      <c r="GH275" s="124"/>
      <c r="GI275" s="124"/>
      <c r="GJ275" s="124"/>
      <c r="GK275" s="124"/>
      <c r="GL275" s="124"/>
      <c r="GM275" s="124"/>
      <c r="GN275" s="124"/>
      <c r="GO275" s="124"/>
      <c r="GP275" s="124"/>
      <c r="GQ275" s="124"/>
      <c r="GR275" s="124"/>
      <c r="GS275" s="124"/>
      <c r="GT275" s="124"/>
      <c r="GU275" s="124"/>
      <c r="GV275" s="124"/>
      <c r="GW275" s="124"/>
      <c r="GX275" s="124"/>
      <c r="GY275" s="124"/>
      <c r="GZ275" s="124"/>
      <c r="HA275" s="124"/>
      <c r="HB275" s="124"/>
      <c r="HC275" s="124"/>
      <c r="HD275" s="124"/>
      <c r="HE275" s="124"/>
      <c r="HF275" s="124"/>
      <c r="HG275" s="124"/>
      <c r="HH275" s="124"/>
      <c r="HI275" s="124"/>
      <c r="HJ275" s="124"/>
      <c r="HK275" s="124"/>
      <c r="HL275" s="124"/>
      <c r="HM275" s="124"/>
      <c r="HN275" s="124"/>
      <c r="HO275" s="124"/>
      <c r="HP275" s="124"/>
      <c r="HQ275" s="124"/>
      <c r="HR275" s="124"/>
      <c r="HS275" s="124"/>
      <c r="HT275" s="124"/>
      <c r="HU275" s="124"/>
      <c r="HV275" s="124"/>
      <c r="HW275" s="124"/>
      <c r="HX275" s="124"/>
      <c r="HY275" s="124"/>
      <c r="HZ275" s="124"/>
      <c r="IA275" s="124"/>
      <c r="IB275" s="124"/>
      <c r="IC275" s="124"/>
      <c r="ID275" s="124"/>
      <c r="IE275" s="124"/>
      <c r="IF275" s="124"/>
      <c r="IG275" s="124"/>
      <c r="IH275" s="124"/>
      <c r="II275" s="124"/>
      <c r="IJ275" s="124"/>
    </row>
    <row r="276" spans="1:244" ht="24" customHeight="1">
      <c r="A276" s="195"/>
      <c r="B276" s="197"/>
      <c r="C276" s="195"/>
      <c r="D276" s="196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200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  <c r="BO276" s="124"/>
      <c r="BP276" s="124"/>
      <c r="BQ276" s="124"/>
      <c r="BR276" s="124"/>
      <c r="BS276" s="124"/>
      <c r="BT276" s="124"/>
      <c r="BU276" s="124"/>
      <c r="BV276" s="124"/>
      <c r="BW276" s="124"/>
      <c r="BX276" s="124"/>
      <c r="BY276" s="124"/>
      <c r="BZ276" s="124"/>
      <c r="CA276" s="124"/>
      <c r="CB276" s="124"/>
      <c r="CC276" s="124"/>
      <c r="CD276" s="124"/>
      <c r="CE276" s="124"/>
      <c r="CF276" s="124"/>
      <c r="CG276" s="124"/>
      <c r="CH276" s="124"/>
      <c r="CI276" s="124"/>
      <c r="CJ276" s="124"/>
      <c r="CK276" s="124"/>
      <c r="CL276" s="124"/>
      <c r="CM276" s="124"/>
      <c r="CN276" s="124"/>
      <c r="CO276" s="124"/>
      <c r="CP276" s="124"/>
      <c r="CQ276" s="124"/>
      <c r="CR276" s="124"/>
      <c r="CS276" s="124"/>
      <c r="CT276" s="124"/>
      <c r="CU276" s="124"/>
      <c r="CV276" s="124"/>
      <c r="CW276" s="124"/>
      <c r="CX276" s="124"/>
      <c r="CY276" s="124"/>
      <c r="CZ276" s="124"/>
      <c r="DA276" s="124"/>
      <c r="DB276" s="124"/>
      <c r="DC276" s="124"/>
      <c r="DD276" s="124"/>
      <c r="DE276" s="124"/>
      <c r="DF276" s="124"/>
      <c r="DG276" s="124"/>
      <c r="DH276" s="124"/>
      <c r="DI276" s="124"/>
      <c r="DJ276" s="124"/>
      <c r="DK276" s="124"/>
      <c r="DL276" s="124"/>
      <c r="DM276" s="124"/>
      <c r="DN276" s="124"/>
      <c r="DO276" s="124"/>
      <c r="DP276" s="124"/>
      <c r="DQ276" s="124"/>
      <c r="DR276" s="124"/>
      <c r="DS276" s="124"/>
      <c r="DT276" s="124"/>
      <c r="DU276" s="124"/>
      <c r="DV276" s="124"/>
      <c r="DW276" s="124"/>
      <c r="DX276" s="124"/>
      <c r="DY276" s="124"/>
      <c r="DZ276" s="124"/>
      <c r="EA276" s="124"/>
      <c r="EB276" s="124"/>
      <c r="EC276" s="124"/>
      <c r="ED276" s="124"/>
      <c r="EE276" s="124"/>
      <c r="EF276" s="124"/>
      <c r="EG276" s="124"/>
      <c r="EH276" s="124"/>
      <c r="EI276" s="124"/>
      <c r="EJ276" s="124"/>
      <c r="EK276" s="124"/>
      <c r="EL276" s="124"/>
      <c r="EM276" s="124"/>
      <c r="EN276" s="124"/>
      <c r="EO276" s="124"/>
      <c r="EP276" s="124"/>
      <c r="EQ276" s="124"/>
      <c r="ER276" s="124"/>
      <c r="ES276" s="124"/>
      <c r="ET276" s="124"/>
      <c r="EU276" s="124"/>
      <c r="EV276" s="124"/>
      <c r="EW276" s="124"/>
      <c r="EX276" s="124"/>
      <c r="EY276" s="124"/>
      <c r="EZ276" s="124"/>
      <c r="FA276" s="124"/>
      <c r="FB276" s="124"/>
      <c r="FC276" s="124"/>
      <c r="FD276" s="124"/>
      <c r="FE276" s="124"/>
      <c r="FF276" s="124"/>
      <c r="FG276" s="124"/>
      <c r="FH276" s="124"/>
      <c r="FI276" s="124"/>
      <c r="FJ276" s="124"/>
      <c r="FK276" s="124"/>
      <c r="FL276" s="124"/>
      <c r="FM276" s="124"/>
      <c r="FN276" s="124"/>
      <c r="FO276" s="124"/>
      <c r="FP276" s="124"/>
      <c r="FQ276" s="124"/>
      <c r="FR276" s="124"/>
      <c r="FS276" s="124"/>
      <c r="FT276" s="124"/>
      <c r="FU276" s="124"/>
      <c r="FV276" s="124"/>
      <c r="FW276" s="124"/>
      <c r="FX276" s="124"/>
      <c r="FY276" s="124"/>
      <c r="FZ276" s="124"/>
      <c r="GA276" s="124"/>
      <c r="GB276" s="124"/>
      <c r="GC276" s="124"/>
      <c r="GD276" s="124"/>
      <c r="GE276" s="124"/>
      <c r="GF276" s="124"/>
      <c r="GG276" s="124"/>
      <c r="GH276" s="124"/>
      <c r="GI276" s="124"/>
      <c r="GJ276" s="124"/>
      <c r="GK276" s="124"/>
      <c r="GL276" s="124"/>
      <c r="GM276" s="124"/>
      <c r="GN276" s="124"/>
      <c r="GO276" s="124"/>
      <c r="GP276" s="124"/>
      <c r="GQ276" s="124"/>
      <c r="GR276" s="124"/>
      <c r="GS276" s="124"/>
      <c r="GT276" s="124"/>
      <c r="GU276" s="124"/>
      <c r="GV276" s="124"/>
      <c r="GW276" s="124"/>
      <c r="GX276" s="124"/>
      <c r="GY276" s="124"/>
      <c r="GZ276" s="124"/>
      <c r="HA276" s="124"/>
      <c r="HB276" s="124"/>
      <c r="HC276" s="124"/>
      <c r="HD276" s="124"/>
      <c r="HE276" s="124"/>
      <c r="HF276" s="124"/>
      <c r="HG276" s="124"/>
      <c r="HH276" s="124"/>
      <c r="HI276" s="124"/>
      <c r="HJ276" s="124"/>
      <c r="HK276" s="124"/>
      <c r="HL276" s="124"/>
      <c r="HM276" s="124"/>
      <c r="HN276" s="124"/>
      <c r="HO276" s="124"/>
      <c r="HP276" s="124"/>
      <c r="HQ276" s="124"/>
      <c r="HR276" s="124"/>
      <c r="HS276" s="124"/>
      <c r="HT276" s="124"/>
      <c r="HU276" s="124"/>
      <c r="HV276" s="124"/>
      <c r="HW276" s="124"/>
      <c r="HX276" s="124"/>
      <c r="HY276" s="124"/>
      <c r="HZ276" s="124"/>
      <c r="IA276" s="124"/>
      <c r="IB276" s="124"/>
      <c r="IC276" s="124"/>
      <c r="ID276" s="124"/>
      <c r="IE276" s="124"/>
      <c r="IF276" s="124"/>
      <c r="IG276" s="124"/>
      <c r="IH276" s="124"/>
      <c r="II276" s="124"/>
      <c r="IJ276" s="124"/>
    </row>
    <row r="277" spans="1:244" ht="24" customHeight="1">
      <c r="A277" s="195"/>
      <c r="B277" s="197"/>
      <c r="C277" s="195"/>
      <c r="D277" s="196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200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  <c r="BO277" s="124"/>
      <c r="BP277" s="124"/>
      <c r="BQ277" s="124"/>
      <c r="BR277" s="124"/>
      <c r="BS277" s="124"/>
      <c r="BT277" s="124"/>
      <c r="BU277" s="124"/>
      <c r="BV277" s="124"/>
      <c r="BW277" s="124"/>
      <c r="BX277" s="124"/>
      <c r="BY277" s="124"/>
      <c r="BZ277" s="124"/>
      <c r="CA277" s="124"/>
      <c r="CB277" s="124"/>
      <c r="CC277" s="124"/>
      <c r="CD277" s="124"/>
      <c r="CE277" s="124"/>
      <c r="CF277" s="124"/>
      <c r="CG277" s="124"/>
      <c r="CH277" s="124"/>
      <c r="CI277" s="124"/>
      <c r="CJ277" s="124"/>
      <c r="CK277" s="124"/>
      <c r="CL277" s="124"/>
      <c r="CM277" s="124"/>
      <c r="CN277" s="124"/>
      <c r="CO277" s="124"/>
      <c r="CP277" s="124"/>
      <c r="CQ277" s="124"/>
      <c r="CR277" s="124"/>
      <c r="CS277" s="124"/>
      <c r="CT277" s="124"/>
      <c r="CU277" s="124"/>
      <c r="CV277" s="124"/>
      <c r="CW277" s="124"/>
      <c r="CX277" s="124"/>
      <c r="CY277" s="124"/>
      <c r="CZ277" s="124"/>
      <c r="DA277" s="124"/>
      <c r="DB277" s="124"/>
      <c r="DC277" s="124"/>
      <c r="DD277" s="124"/>
      <c r="DE277" s="124"/>
      <c r="DF277" s="124"/>
      <c r="DG277" s="124"/>
      <c r="DH277" s="124"/>
      <c r="DI277" s="124"/>
      <c r="DJ277" s="124"/>
      <c r="DK277" s="124"/>
      <c r="DL277" s="124"/>
      <c r="DM277" s="124"/>
      <c r="DN277" s="124"/>
      <c r="DO277" s="124"/>
      <c r="DP277" s="124"/>
      <c r="DQ277" s="124"/>
      <c r="DR277" s="124"/>
      <c r="DS277" s="124"/>
      <c r="DT277" s="124"/>
      <c r="DU277" s="124"/>
      <c r="DV277" s="124"/>
      <c r="DW277" s="124"/>
      <c r="DX277" s="124"/>
      <c r="DY277" s="124"/>
      <c r="DZ277" s="124"/>
      <c r="EA277" s="124"/>
      <c r="EB277" s="124"/>
      <c r="EC277" s="124"/>
      <c r="ED277" s="124"/>
      <c r="EE277" s="124"/>
      <c r="EF277" s="124"/>
      <c r="EG277" s="124"/>
      <c r="EH277" s="124"/>
      <c r="EI277" s="124"/>
      <c r="EJ277" s="124"/>
      <c r="EK277" s="124"/>
      <c r="EL277" s="124"/>
      <c r="EM277" s="124"/>
      <c r="EN277" s="124"/>
      <c r="EO277" s="124"/>
      <c r="EP277" s="124"/>
      <c r="EQ277" s="124"/>
      <c r="ER277" s="124"/>
      <c r="ES277" s="124"/>
      <c r="ET277" s="124"/>
      <c r="EU277" s="124"/>
      <c r="EV277" s="124"/>
      <c r="EW277" s="124"/>
      <c r="EX277" s="124"/>
      <c r="EY277" s="124"/>
      <c r="EZ277" s="124"/>
      <c r="FA277" s="124"/>
      <c r="FB277" s="124"/>
      <c r="FC277" s="124"/>
      <c r="FD277" s="124"/>
      <c r="FE277" s="124"/>
      <c r="FF277" s="124"/>
      <c r="FG277" s="124"/>
      <c r="FH277" s="124"/>
      <c r="FI277" s="124"/>
      <c r="FJ277" s="124"/>
      <c r="FK277" s="124"/>
      <c r="FL277" s="124"/>
      <c r="FM277" s="124"/>
      <c r="FN277" s="124"/>
      <c r="FO277" s="124"/>
      <c r="FP277" s="124"/>
      <c r="FQ277" s="124"/>
      <c r="FR277" s="124"/>
      <c r="FS277" s="124"/>
      <c r="FT277" s="124"/>
      <c r="FU277" s="124"/>
      <c r="FV277" s="124"/>
      <c r="FW277" s="124"/>
      <c r="FX277" s="124"/>
      <c r="FY277" s="124"/>
      <c r="FZ277" s="124"/>
      <c r="GA277" s="124"/>
      <c r="GB277" s="124"/>
      <c r="GC277" s="124"/>
      <c r="GD277" s="124"/>
      <c r="GE277" s="124"/>
      <c r="GF277" s="124"/>
      <c r="GG277" s="124"/>
      <c r="GH277" s="124"/>
      <c r="GI277" s="124"/>
      <c r="GJ277" s="124"/>
      <c r="GK277" s="124"/>
      <c r="GL277" s="124"/>
      <c r="GM277" s="124"/>
      <c r="GN277" s="124"/>
      <c r="GO277" s="124"/>
      <c r="GP277" s="124"/>
      <c r="GQ277" s="124"/>
      <c r="GR277" s="124"/>
      <c r="GS277" s="124"/>
      <c r="GT277" s="124"/>
      <c r="GU277" s="124"/>
      <c r="GV277" s="124"/>
      <c r="GW277" s="124"/>
      <c r="GX277" s="124"/>
      <c r="GY277" s="124"/>
      <c r="GZ277" s="124"/>
      <c r="HA277" s="124"/>
      <c r="HB277" s="124"/>
      <c r="HC277" s="124"/>
      <c r="HD277" s="124"/>
      <c r="HE277" s="124"/>
      <c r="HF277" s="124"/>
      <c r="HG277" s="124"/>
      <c r="HH277" s="124"/>
      <c r="HI277" s="124"/>
      <c r="HJ277" s="124"/>
      <c r="HK277" s="124"/>
      <c r="HL277" s="124"/>
      <c r="HM277" s="124"/>
      <c r="HN277" s="124"/>
      <c r="HO277" s="124"/>
      <c r="HP277" s="124"/>
      <c r="HQ277" s="124"/>
      <c r="HR277" s="124"/>
      <c r="HS277" s="124"/>
      <c r="HT277" s="124"/>
      <c r="HU277" s="124"/>
      <c r="HV277" s="124"/>
      <c r="HW277" s="124"/>
      <c r="HX277" s="124"/>
      <c r="HY277" s="124"/>
      <c r="HZ277" s="124"/>
      <c r="IA277" s="124"/>
      <c r="IB277" s="124"/>
      <c r="IC277" s="124"/>
      <c r="ID277" s="124"/>
      <c r="IE277" s="124"/>
      <c r="IF277" s="124"/>
      <c r="IG277" s="124"/>
      <c r="IH277" s="124"/>
      <c r="II277" s="124"/>
      <c r="IJ277" s="124"/>
    </row>
  </sheetData>
  <phoneticPr fontId="45" type="noConversion"/>
  <dataValidations count="2">
    <dataValidation allowBlank="1" showInputMessage="1" showErrorMessage="1" prompt="小时货邮运输量" sqref="C29"/>
    <dataValidation allowBlank="1" showInputMessage="1" showErrorMessage="1" prompt="平均航段小时＝飞行小时/飞行班次。下同" sqref="C39"/>
  </dataValidations>
  <pageMargins left="0.38888888888888901" right="0.359027777777778" top="0.52916666666666701" bottom="0.67916666666666703" header="0.22916666666666699" footer="0.37916666666666698"/>
  <pageSetup paperSize="9" firstPageNumber="4294963191" orientation="portrait" useFirstPageNumber="1" r:id="rId1"/>
  <headerFooter alignWithMargins="0">
    <oddHeader>&amp;C&amp;"宋体,加粗"大新华航空2007年生产运营指标简表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showGridLines="0" tabSelected="1" workbookViewId="0">
      <pane xSplit="2" ySplit="3" topLeftCell="C33" activePane="bottomRight" state="frozenSplit"/>
      <selection pane="topRight"/>
      <selection pane="bottomLeft"/>
      <selection pane="bottomRight" activeCell="C45" sqref="C45"/>
    </sheetView>
  </sheetViews>
  <sheetFormatPr defaultColWidth="9" defaultRowHeight="24" customHeight="1"/>
  <cols>
    <col min="1" max="1" width="26.75" style="96" customWidth="1"/>
    <col min="2" max="2" width="21.5" style="96" customWidth="1"/>
    <col min="3" max="3" width="9.75" style="96" customWidth="1"/>
    <col min="4" max="7" width="8.625" style="96" customWidth="1"/>
    <col min="8" max="8" width="9.375" style="96" customWidth="1"/>
    <col min="9" max="14" width="8.625" style="96" customWidth="1"/>
    <col min="15" max="15" width="11.75" style="96" customWidth="1"/>
    <col min="16" max="16" width="10.25" style="96" customWidth="1"/>
    <col min="17" max="17" width="9.375" style="96" customWidth="1"/>
    <col min="18" max="18" width="11.125" style="96"/>
    <col min="19" max="16384" width="9" style="96"/>
  </cols>
  <sheetData>
    <row r="1" spans="1:18" ht="24" customHeight="1">
      <c r="A1" s="285" t="s">
        <v>96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</row>
    <row r="2" spans="1:18" s="77" customFormat="1" ht="24" customHeight="1">
      <c r="A2" s="287"/>
      <c r="B2" s="288"/>
      <c r="M2" s="289" t="s">
        <v>97</v>
      </c>
      <c r="N2" s="289"/>
      <c r="O2" s="289"/>
    </row>
    <row r="3" spans="1:18" ht="24" customHeight="1">
      <c r="A3" s="1" t="s">
        <v>98</v>
      </c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8" ht="24" customHeight="1">
      <c r="A4" s="97" t="s">
        <v>99</v>
      </c>
      <c r="B4" s="79">
        <v>542719.71768884058</v>
      </c>
      <c r="C4" s="98">
        <f>C5+C11</f>
        <v>34905.420572234099</v>
      </c>
      <c r="D4" s="98">
        <f>D5+D11</f>
        <v>45914.36056586662</v>
      </c>
      <c r="E4" s="98">
        <f t="shared" ref="E4:N4" si="0">E5+E11</f>
        <v>36581.997985720664</v>
      </c>
      <c r="F4" s="98">
        <f t="shared" si="0"/>
        <v>39419.790204966703</v>
      </c>
      <c r="G4" s="98">
        <f t="shared" si="0"/>
        <v>34899.652975937519</v>
      </c>
      <c r="H4" s="98">
        <f t="shared" si="0"/>
        <v>37696.047604031817</v>
      </c>
      <c r="I4" s="98">
        <f t="shared" si="0"/>
        <v>53293.676814659295</v>
      </c>
      <c r="J4" s="98">
        <f t="shared" si="0"/>
        <v>63002.975407337501</v>
      </c>
      <c r="K4" s="98">
        <f t="shared" si="0"/>
        <v>43617.351863179298</v>
      </c>
      <c r="L4" s="98">
        <f t="shared" si="0"/>
        <v>49801.924282342945</v>
      </c>
      <c r="M4" s="98">
        <f t="shared" si="0"/>
        <v>39862.208725715354</v>
      </c>
      <c r="N4" s="98">
        <f t="shared" si="0"/>
        <v>39919.356306243222</v>
      </c>
      <c r="O4" s="100">
        <f t="shared" ref="O4" si="1">SUM(C4:N4)</f>
        <v>518914.76330823498</v>
      </c>
      <c r="P4" s="111">
        <f>B4-O4</f>
        <v>23804.954380605603</v>
      </c>
      <c r="Q4" s="111">
        <f>C4+D4+E4+F4+G4+H4</f>
        <v>229417.26990875741</v>
      </c>
      <c r="R4" s="111"/>
    </row>
    <row r="5" spans="1:18" ht="24" customHeight="1">
      <c r="A5" s="99" t="s">
        <v>100</v>
      </c>
      <c r="B5" s="82">
        <v>528981.71768884058</v>
      </c>
      <c r="C5" s="98">
        <f>C6+C10</f>
        <v>33505.420572234099</v>
      </c>
      <c r="D5" s="98">
        <f t="shared" ref="D5" si="2">D6+D10</f>
        <v>44914.36056586662</v>
      </c>
      <c r="E5" s="98">
        <f t="shared" ref="E5:N5" si="3">E6+E10</f>
        <v>35081.997985720664</v>
      </c>
      <c r="F5" s="98">
        <f t="shared" si="3"/>
        <v>38269.790204966703</v>
      </c>
      <c r="G5" s="98">
        <f t="shared" si="3"/>
        <v>33799.652975937519</v>
      </c>
      <c r="H5" s="98">
        <f t="shared" si="3"/>
        <v>36546.047604031817</v>
      </c>
      <c r="I5" s="98">
        <f t="shared" si="3"/>
        <v>52393.676814659295</v>
      </c>
      <c r="J5" s="98">
        <f t="shared" si="3"/>
        <v>62202.975407337501</v>
      </c>
      <c r="K5" s="98">
        <f t="shared" si="3"/>
        <v>42217.351863179298</v>
      </c>
      <c r="L5" s="98">
        <f t="shared" si="3"/>
        <v>48701.924282342945</v>
      </c>
      <c r="M5" s="98">
        <f t="shared" si="3"/>
        <v>38762.208725715354</v>
      </c>
      <c r="N5" s="98">
        <f t="shared" si="3"/>
        <v>38781.356306243222</v>
      </c>
      <c r="O5" s="112">
        <f t="shared" ref="O5:O14" si="4">SUM(C5:N5)</f>
        <v>505176.76330823498</v>
      </c>
      <c r="P5" s="111">
        <f t="shared" ref="P5" si="5">B5-O5</f>
        <v>23804.954380605603</v>
      </c>
      <c r="Q5" s="111">
        <f t="shared" ref="Q5:Q37" si="6">C5+D5+E5+F5+G5+H5</f>
        <v>222117.26990875741</v>
      </c>
      <c r="R5" s="111"/>
    </row>
    <row r="6" spans="1:18" ht="24" customHeight="1">
      <c r="A6" s="99" t="s">
        <v>101</v>
      </c>
      <c r="B6" s="82">
        <v>516881.71768884058</v>
      </c>
      <c r="C6" s="100">
        <f>'表1-生产经营预算表'!E118</f>
        <v>32505.420572234103</v>
      </c>
      <c r="D6" s="100">
        <f>'表1-生产经营预算表'!F118</f>
        <v>43914.36056586662</v>
      </c>
      <c r="E6" s="100">
        <f>'表1-生产经营预算表'!G118</f>
        <v>34081.997985720664</v>
      </c>
      <c r="F6" s="100">
        <f>'表1-生产经营预算表'!H118</f>
        <v>37269.790204966703</v>
      </c>
      <c r="G6" s="100">
        <f>'表1-生产经营预算表'!I118</f>
        <v>32799.652975937519</v>
      </c>
      <c r="H6" s="100">
        <f>'表1-生产经营预算表'!J118</f>
        <v>34946.047604031817</v>
      </c>
      <c r="I6" s="100">
        <f>'表1-生产经营预算表'!K118</f>
        <v>51693.676814659295</v>
      </c>
      <c r="J6" s="100">
        <f>'表1-生产经营预算表'!L118</f>
        <v>61402.975407337501</v>
      </c>
      <c r="K6" s="100">
        <f>'表1-生产经营预算表'!M118</f>
        <v>41217.351863179298</v>
      </c>
      <c r="L6" s="100">
        <f>'表1-生产经营预算表'!N118</f>
        <v>47701.924282342945</v>
      </c>
      <c r="M6" s="100">
        <f>'表1-生产经营预算表'!O118</f>
        <v>37762.208725715354</v>
      </c>
      <c r="N6" s="100">
        <f>'表1-生产经营预算表'!P118</f>
        <v>37781.356306243222</v>
      </c>
      <c r="O6" s="100">
        <f t="shared" si="4"/>
        <v>493076.76330823498</v>
      </c>
      <c r="P6" s="111">
        <f t="shared" ref="P6:P37" si="7">B6-O6</f>
        <v>23804.954380605603</v>
      </c>
      <c r="Q6" s="111">
        <f t="shared" si="6"/>
        <v>215517.26990875741</v>
      </c>
      <c r="R6" s="111"/>
    </row>
    <row r="7" spans="1:18" ht="24" customHeight="1">
      <c r="A7" s="101" t="s">
        <v>102</v>
      </c>
      <c r="B7" s="82">
        <v>511006.48342639004</v>
      </c>
      <c r="C7" s="100">
        <f>'表1-生产经营预算表'!E133</f>
        <v>32046.610408299679</v>
      </c>
      <c r="D7" s="100">
        <f>'表1-生产经营预算表'!F133</f>
        <v>43485.151057669893</v>
      </c>
      <c r="E7" s="100">
        <f>'表1-生产经营预算表'!G133</f>
        <v>33623.18782178624</v>
      </c>
      <c r="F7" s="100">
        <f>'表1-生产经营预算表'!H133</f>
        <v>36838.218991221431</v>
      </c>
      <c r="G7" s="100">
        <f>'表1-生产经营预算表'!I133</f>
        <v>32336.814758619323</v>
      </c>
      <c r="H7" s="100">
        <f>'表1-生产经营预算表'!J133</f>
        <v>34485.810037827527</v>
      </c>
      <c r="I7" s="100">
        <f>'表1-生产经营预算表'!K133</f>
        <v>51229.189026693151</v>
      </c>
      <c r="J7" s="100">
        <f>'表1-生产经营预算表'!L133</f>
        <v>60905.346636845687</v>
      </c>
      <c r="K7" s="100">
        <f>'表1-生产经营预算表'!M133</f>
        <v>40735.775633671103</v>
      </c>
      <c r="L7" s="100">
        <f>'表1-生产经营预算表'!N133</f>
        <v>47204.295511851153</v>
      </c>
      <c r="M7" s="100">
        <f>'表1-生产经营预算表'!O133</f>
        <v>37280.632496207152</v>
      </c>
      <c r="N7" s="100">
        <f>'表1-生产经营预算表'!P133</f>
        <v>37283.723273300871</v>
      </c>
      <c r="O7" s="100">
        <f t="shared" si="4"/>
        <v>487454.75565399317</v>
      </c>
      <c r="P7" s="111">
        <f t="shared" si="7"/>
        <v>23551.727772396873</v>
      </c>
      <c r="Q7" s="111">
        <f t="shared" si="6"/>
        <v>212815.7930754241</v>
      </c>
      <c r="R7" s="111"/>
    </row>
    <row r="8" spans="1:18" ht="24" customHeight="1">
      <c r="A8" s="102" t="s">
        <v>103</v>
      </c>
      <c r="B8" s="82">
        <v>0</v>
      </c>
      <c r="C8" s="100">
        <f>'表1-生产经营预算表'!E128</f>
        <v>0</v>
      </c>
      <c r="D8" s="100">
        <f>'表1-生产经营预算表'!F128</f>
        <v>0</v>
      </c>
      <c r="E8" s="100">
        <f>'表1-生产经营预算表'!G128</f>
        <v>0</v>
      </c>
      <c r="F8" s="100">
        <f>'表1-生产经营预算表'!H128</f>
        <v>0</v>
      </c>
      <c r="G8" s="100">
        <f>'表1-生产经营预算表'!I128</f>
        <v>0</v>
      </c>
      <c r="H8" s="100">
        <f>'表1-生产经营预算表'!J128</f>
        <v>0</v>
      </c>
      <c r="I8" s="100">
        <f>'表1-生产经营预算表'!K128</f>
        <v>0</v>
      </c>
      <c r="J8" s="100">
        <f>'表1-生产经营预算表'!L128</f>
        <v>0</v>
      </c>
      <c r="K8" s="100">
        <f>'表1-生产经营预算表'!M128</f>
        <v>0</v>
      </c>
      <c r="L8" s="100">
        <f>'表1-生产经营预算表'!N128</f>
        <v>0</v>
      </c>
      <c r="M8" s="100">
        <f>'表1-生产经营预算表'!O128</f>
        <v>0</v>
      </c>
      <c r="N8" s="100">
        <f>'表1-生产经营预算表'!P128</f>
        <v>5.8541129692457616E-4</v>
      </c>
      <c r="O8" s="100">
        <f t="shared" si="4"/>
        <v>5.8541129692457616E-4</v>
      </c>
      <c r="P8" s="111">
        <f t="shared" si="7"/>
        <v>-5.8541129692457616E-4</v>
      </c>
      <c r="Q8" s="111">
        <f t="shared" si="6"/>
        <v>0</v>
      </c>
      <c r="R8" s="111"/>
    </row>
    <row r="9" spans="1:18" ht="24" customHeight="1">
      <c r="A9" s="101" t="s">
        <v>104</v>
      </c>
      <c r="B9" s="82">
        <v>5875.2342624505536</v>
      </c>
      <c r="C9" s="100">
        <f>'表1-生产经营预算表'!E143</f>
        <v>458.81016393442616</v>
      </c>
      <c r="D9" s="100">
        <f>'表1-生产经营预算表'!F143</f>
        <v>429.20950819672095</v>
      </c>
      <c r="E9" s="100">
        <f>'表1-生产经营预算表'!G143</f>
        <v>458.81016393442593</v>
      </c>
      <c r="F9" s="100">
        <f>'表1-生产经营预算表'!H143</f>
        <v>431.57121374527105</v>
      </c>
      <c r="G9" s="100">
        <f>'表1-生产经营预算表'!I143</f>
        <v>462.83821731820098</v>
      </c>
      <c r="H9" s="100">
        <f>'表1-生产经营预算表'!J143</f>
        <v>460.23756620428753</v>
      </c>
      <c r="I9" s="100">
        <f>'表1-生产经营预算表'!K143</f>
        <v>464.48778796613232</v>
      </c>
      <c r="J9" s="100">
        <f>'表1-生产经营预算表'!L143</f>
        <v>497.62877049180332</v>
      </c>
      <c r="K9" s="100">
        <f>'表1-生产经营预算表'!M143</f>
        <v>481.57622950819672</v>
      </c>
      <c r="L9" s="100">
        <f>'表1-生产经营预算表'!N143</f>
        <v>497.62877049180338</v>
      </c>
      <c r="M9" s="100">
        <f>'表1-生产经营预算表'!O143</f>
        <v>481.57622950819672</v>
      </c>
      <c r="N9" s="100">
        <f>'表1-生产经营预算表'!P143</f>
        <v>497.63303294235664</v>
      </c>
      <c r="O9" s="100">
        <f t="shared" si="4"/>
        <v>5622.0076542418201</v>
      </c>
      <c r="P9" s="111">
        <f t="shared" si="7"/>
        <v>253.22660820873352</v>
      </c>
      <c r="Q9" s="111">
        <f>C9+D9+E9+F9+G9+H9</f>
        <v>2701.4768333333323</v>
      </c>
      <c r="R9" s="111"/>
    </row>
    <row r="10" spans="1:18" ht="24" customHeight="1">
      <c r="A10" s="99" t="s">
        <v>105</v>
      </c>
      <c r="B10" s="82">
        <v>12100</v>
      </c>
      <c r="C10" s="103">
        <v>1000</v>
      </c>
      <c r="D10" s="103">
        <v>1000</v>
      </c>
      <c r="E10" s="103">
        <v>1000</v>
      </c>
      <c r="F10" s="103">
        <v>1000</v>
      </c>
      <c r="G10" s="103">
        <v>1000</v>
      </c>
      <c r="H10" s="103">
        <v>1600</v>
      </c>
      <c r="I10" s="103">
        <v>700</v>
      </c>
      <c r="J10" s="103">
        <v>800</v>
      </c>
      <c r="K10" s="103">
        <v>1000</v>
      </c>
      <c r="L10" s="103">
        <v>1000</v>
      </c>
      <c r="M10" s="103">
        <v>1000</v>
      </c>
      <c r="N10" s="103">
        <v>1000</v>
      </c>
      <c r="O10" s="100">
        <f t="shared" si="4"/>
        <v>12100</v>
      </c>
      <c r="P10" s="111">
        <f t="shared" si="7"/>
        <v>0</v>
      </c>
      <c r="Q10" s="111">
        <f t="shared" si="6"/>
        <v>6600</v>
      </c>
      <c r="R10" s="111"/>
    </row>
    <row r="11" spans="1:18" ht="24" customHeight="1">
      <c r="A11" s="101" t="s">
        <v>106</v>
      </c>
      <c r="B11" s="82">
        <v>13738</v>
      </c>
      <c r="C11" s="103">
        <v>1400</v>
      </c>
      <c r="D11" s="103">
        <v>1000</v>
      </c>
      <c r="E11" s="103">
        <v>1500</v>
      </c>
      <c r="F11" s="103">
        <v>1150</v>
      </c>
      <c r="G11" s="103">
        <v>1100</v>
      </c>
      <c r="H11" s="103">
        <v>1150</v>
      </c>
      <c r="I11" s="103">
        <v>900</v>
      </c>
      <c r="J11" s="103">
        <v>800</v>
      </c>
      <c r="K11" s="103">
        <v>1400</v>
      </c>
      <c r="L11" s="103">
        <v>1100</v>
      </c>
      <c r="M11" s="103">
        <v>1100</v>
      </c>
      <c r="N11" s="103">
        <v>1138</v>
      </c>
      <c r="O11" s="100">
        <f t="shared" si="4"/>
        <v>13738</v>
      </c>
      <c r="P11" s="111">
        <f t="shared" si="7"/>
        <v>0</v>
      </c>
      <c r="Q11" s="111">
        <f t="shared" si="6"/>
        <v>7300</v>
      </c>
      <c r="R11" s="111"/>
    </row>
    <row r="12" spans="1:18" ht="24" customHeight="1">
      <c r="A12" s="102" t="s">
        <v>107</v>
      </c>
      <c r="B12" s="79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0">
        <f t="shared" si="4"/>
        <v>0</v>
      </c>
      <c r="P12" s="111">
        <f t="shared" si="7"/>
        <v>0</v>
      </c>
      <c r="Q12" s="111">
        <f t="shared" si="6"/>
        <v>0</v>
      </c>
      <c r="R12" s="111"/>
    </row>
    <row r="13" spans="1:18" ht="24" customHeight="1">
      <c r="A13" s="97" t="s">
        <v>108</v>
      </c>
      <c r="B13" s="79">
        <v>507682.00648422999</v>
      </c>
      <c r="C13" s="98">
        <f>C4-C35</f>
        <v>36297.631812724001</v>
      </c>
      <c r="D13" s="98">
        <f>D4-D35</f>
        <v>38945.632376195266</v>
      </c>
      <c r="E13" s="98">
        <f>E4-E35</f>
        <v>36797.426718797913</v>
      </c>
      <c r="F13" s="98">
        <f t="shared" ref="F13:N13" si="8">F4-F35</f>
        <v>37150.843072153271</v>
      </c>
      <c r="G13" s="98">
        <f t="shared" si="8"/>
        <v>36221.665917598031</v>
      </c>
      <c r="H13" s="98">
        <f t="shared" si="8"/>
        <v>36483.03767382662</v>
      </c>
      <c r="I13" s="98">
        <f t="shared" si="8"/>
        <v>41912.462235766048</v>
      </c>
      <c r="J13" s="98">
        <f t="shared" si="8"/>
        <v>48441.319322238916</v>
      </c>
      <c r="K13" s="98">
        <f t="shared" si="8"/>
        <v>42746.847840777802</v>
      </c>
      <c r="L13" s="98">
        <f t="shared" si="8"/>
        <v>45594.836125471287</v>
      </c>
      <c r="M13" s="98">
        <f t="shared" si="8"/>
        <v>42207.018309308041</v>
      </c>
      <c r="N13" s="98">
        <f t="shared" si="8"/>
        <v>41078.330698767095</v>
      </c>
      <c r="O13" s="100">
        <f t="shared" si="4"/>
        <v>483877.05210362427</v>
      </c>
      <c r="P13" s="111">
        <f t="shared" si="7"/>
        <v>23804.954380605719</v>
      </c>
      <c r="Q13" s="111">
        <f>C13+D13+E13+F13+G13+H13</f>
        <v>221896.23757129512</v>
      </c>
      <c r="R13" s="111"/>
    </row>
    <row r="14" spans="1:18" ht="24" customHeight="1">
      <c r="A14" s="99" t="s">
        <v>109</v>
      </c>
      <c r="B14" s="82">
        <v>345197.24975440302</v>
      </c>
      <c r="C14" s="98">
        <f>C13-C25-C26-C27-C28-C29-C30-C31</f>
        <v>24381.366719545535</v>
      </c>
      <c r="D14" s="98">
        <f t="shared" ref="D14:N14" si="9">D13-D25-D26-D27-D28-D29-D30-D31</f>
        <v>25162.071759033937</v>
      </c>
      <c r="E14" s="98">
        <f t="shared" si="9"/>
        <v>24806.173450439743</v>
      </c>
      <c r="F14" s="98">
        <f>F13-F25-F26-F27-F28-F29-F30-F31</f>
        <v>24439.102429210441</v>
      </c>
      <c r="G14" s="98">
        <f>G13-G25-G26-G27-G28-G29-G30-G31</f>
        <v>24455.527654309713</v>
      </c>
      <c r="H14" s="98">
        <f t="shared" si="9"/>
        <v>24067.421607847507</v>
      </c>
      <c r="I14" s="98">
        <f t="shared" si="9"/>
        <v>26311.856848309046</v>
      </c>
      <c r="J14" s="98">
        <f t="shared" si="9"/>
        <v>31259.271752287907</v>
      </c>
      <c r="K14" s="98">
        <f t="shared" si="9"/>
        <v>29476.79601055348</v>
      </c>
      <c r="L14" s="98">
        <f t="shared" si="9"/>
        <v>31130.018296724018</v>
      </c>
      <c r="M14" s="98">
        <f t="shared" si="9"/>
        <v>29709.297494705075</v>
      </c>
      <c r="N14" s="98">
        <f t="shared" si="9"/>
        <v>28393.036667275494</v>
      </c>
      <c r="O14" s="100">
        <f t="shared" si="4"/>
        <v>323591.94069024187</v>
      </c>
      <c r="P14" s="111">
        <f t="shared" si="7"/>
        <v>21605.309064161149</v>
      </c>
      <c r="Q14" s="111">
        <f t="shared" si="6"/>
        <v>147311.66362038688</v>
      </c>
      <c r="R14" s="111"/>
    </row>
    <row r="15" spans="1:18" ht="24" customHeight="1">
      <c r="A15" s="104" t="s">
        <v>110</v>
      </c>
      <c r="B15" s="82">
        <v>127767.03420780001</v>
      </c>
      <c r="C15" s="100">
        <f>C14-C16-C17-C18-C19-C24</f>
        <v>8440.8055960489783</v>
      </c>
      <c r="D15" s="100">
        <f t="shared" ref="D15:N15" si="10">D14-D16-D17-D18-D19-D24</f>
        <v>8773.555837921258</v>
      </c>
      <c r="E15" s="100">
        <f t="shared" si="10"/>
        <v>8777.6262166540764</v>
      </c>
      <c r="F15" s="100">
        <f t="shared" si="10"/>
        <v>8335.0736903215166</v>
      </c>
      <c r="G15" s="100">
        <f t="shared" si="10"/>
        <v>8612.1194808580167</v>
      </c>
      <c r="H15" s="100">
        <f t="shared" si="10"/>
        <v>8386.6760137471174</v>
      </c>
      <c r="I15" s="100">
        <f t="shared" si="10"/>
        <v>8550.8289943298059</v>
      </c>
      <c r="J15" s="100">
        <f t="shared" si="10"/>
        <v>11467.752617191538</v>
      </c>
      <c r="K15" s="100">
        <f t="shared" si="10"/>
        <v>10549.641116667997</v>
      </c>
      <c r="L15" s="100">
        <f t="shared" si="10"/>
        <v>11229.443060336216</v>
      </c>
      <c r="M15" s="100">
        <f t="shared" si="10"/>
        <v>10601.13323081622</v>
      </c>
      <c r="N15" s="100">
        <f t="shared" si="10"/>
        <v>10021.941344321209</v>
      </c>
      <c r="O15" s="100">
        <f>SUM(C15:N15)</f>
        <v>113746.59719921397</v>
      </c>
      <c r="P15" s="111">
        <f t="shared" si="7"/>
        <v>14020.437008586043</v>
      </c>
      <c r="Q15" s="111">
        <f t="shared" si="6"/>
        <v>51325.856835550963</v>
      </c>
      <c r="R15" s="111"/>
    </row>
    <row r="16" spans="1:18" ht="24" customHeight="1">
      <c r="A16" s="222" t="s">
        <v>225</v>
      </c>
      <c r="B16" s="82">
        <v>54841.219907719998</v>
      </c>
      <c r="C16" s="100">
        <f>大项成本月分解!C21</f>
        <v>4063.8732129509503</v>
      </c>
      <c r="D16" s="100">
        <f>大项成本月分解!D21</f>
        <v>4063.8732129509503</v>
      </c>
      <c r="E16" s="100">
        <f>大项成本月分解!E21</f>
        <v>4063.8732129509503</v>
      </c>
      <c r="F16" s="100">
        <f>大项成本月分解!F21</f>
        <v>4136.4423774679317</v>
      </c>
      <c r="G16" s="100">
        <f>大项成本月分解!G21</f>
        <v>4260.5122393840611</v>
      </c>
      <c r="H16" s="100">
        <f>大项成本月分解!H21</f>
        <v>4354.1498710188753</v>
      </c>
      <c r="I16" s="100">
        <f>大项成本月分解!I21</f>
        <v>4354.1498710188753</v>
      </c>
      <c r="J16" s="100">
        <f>大项成本月分解!J21</f>
        <v>4789.5648581207633</v>
      </c>
      <c r="K16" s="100">
        <f>大项成本月分解!K21</f>
        <v>5079.8415161886878</v>
      </c>
      <c r="L16" s="100">
        <f>大项成本月分解!L21</f>
        <v>5224.9798452226505</v>
      </c>
      <c r="M16" s="100">
        <f>大项成本月分解!M21</f>
        <v>5224.9798452226505</v>
      </c>
      <c r="N16" s="100">
        <f>大项成本月分解!N21</f>
        <v>5224.9798452226505</v>
      </c>
      <c r="O16" s="100">
        <f>SUM(C16:N16)</f>
        <v>54841.219907720006</v>
      </c>
      <c r="P16" s="111">
        <f t="shared" si="7"/>
        <v>0</v>
      </c>
      <c r="Q16" s="111">
        <f t="shared" si="6"/>
        <v>24942.724126723719</v>
      </c>
      <c r="R16" s="111"/>
    </row>
    <row r="17" spans="1:18" ht="24" customHeight="1">
      <c r="A17" s="101" t="s">
        <v>111</v>
      </c>
      <c r="B17" s="82">
        <v>62</v>
      </c>
      <c r="C17" s="100">
        <f>'表1-生产经营预算表'!E33*$B$17/'表1-生产经营预算表'!$D$33</f>
        <v>4.6525105474553587</v>
      </c>
      <c r="D17" s="100">
        <f>'表1-生产经营预算表'!F33*$B$17/'表1-生产经营预算表'!$D$33</f>
        <v>4.5960786094330111</v>
      </c>
      <c r="E17" s="100">
        <f>'表1-生产经营预算表'!G33*$B$17/'表1-生产经营预算表'!$D$33</f>
        <v>4.5746758847109277</v>
      </c>
      <c r="F17" s="100">
        <f>'表1-生产经营预算表'!H33*$B$17/'表1-生产经营预算表'!$D$33</f>
        <v>4.5788678220980987</v>
      </c>
      <c r="G17" s="100">
        <f>'表1-生产经营预算表'!I33*$B$17/'表1-生产经营预算表'!$D$33</f>
        <v>4.441897852581377</v>
      </c>
      <c r="H17" s="100">
        <f>'表1-生产经营预算表'!J33*$B$17/'表1-生产经营预算表'!$D$33</f>
        <v>4.3514543490985389</v>
      </c>
      <c r="I17" s="100">
        <f>'表1-生产经营预算表'!K33*$B$17/'表1-生产经营预算表'!$D$33</f>
        <v>5.1485970676230419</v>
      </c>
      <c r="J17" s="100">
        <f>'表1-生产经营预算表'!L33*$B$17/'表1-生产经营预算表'!$D$33</f>
        <v>5.7097786895251952</v>
      </c>
      <c r="K17" s="100">
        <f>'表1-生产经营预算表'!M33*$B$17/'表1-生产经营预算表'!$D$33</f>
        <v>5.2758416378106565</v>
      </c>
      <c r="L17" s="100">
        <f>'表1-生产经营预算表'!N33*$B$17/'表1-生产经营预算表'!$D$33</f>
        <v>5.6031358023956219</v>
      </c>
      <c r="M17" s="100">
        <f>'表1-生产经营预算表'!O33*$B$17/'表1-生产经营预算表'!$D$33</f>
        <v>5.3072234810026728</v>
      </c>
      <c r="N17" s="100">
        <f>'表1-生产经营预算表'!P33*$B$17/'表1-生产经营预算表'!$D$33</f>
        <v>5.0240438809871861</v>
      </c>
      <c r="O17" s="100">
        <f>SUM(C17:N17)</f>
        <v>59.264105624721687</v>
      </c>
      <c r="P17" s="111">
        <f t="shared" si="7"/>
        <v>2.7358943752783134</v>
      </c>
      <c r="Q17" s="111">
        <f t="shared" si="6"/>
        <v>27.195485065377312</v>
      </c>
      <c r="R17" s="111"/>
    </row>
    <row r="18" spans="1:18" ht="24" customHeight="1">
      <c r="A18" s="101" t="s">
        <v>112</v>
      </c>
      <c r="B18" s="82">
        <v>62915.018399999855</v>
      </c>
      <c r="C18" s="100">
        <f>'表1-生产经营预算表'!E33*$B$18/'表1-生产经营预算表'!$D$33-300</f>
        <v>4421.1739790217307</v>
      </c>
      <c r="D18" s="100">
        <f>'表1-生产经营预算表'!F33*$B$18/'表1-生产经营预算表'!$D$33+300</f>
        <v>4963.9091980697358</v>
      </c>
      <c r="E18" s="100">
        <f>'表1-生产经营预算表'!G33*$B$18/'表1-生产经营预算表'!$D$33</f>
        <v>4642.190604203608</v>
      </c>
      <c r="F18" s="100">
        <f>'表1-生产经营预算表'!H33*$B$18/'表1-生产经营预算表'!$D$33</f>
        <v>4646.4444077172438</v>
      </c>
      <c r="G18" s="100">
        <f>'表1-生产经营预算表'!I33*$B$18/'表1-生产经营预算表'!$D$33</f>
        <v>4507.4529859044706</v>
      </c>
      <c r="H18" s="100">
        <f>'表1-生产经营预算表'!J33*$B$18/'表1-生产经营预算表'!$D$33</f>
        <v>4415.6746845208709</v>
      </c>
      <c r="I18" s="100">
        <f>'表1-生产经营预算表'!K33*$B$18/'表1-生产经营预算表'!$D$33</f>
        <v>5224.5819232853064</v>
      </c>
      <c r="J18" s="100">
        <f>'表1-生产经营预算表'!L33*$B$18/'表1-生产经营预算表'!$D$33</f>
        <v>5794.0456663129789</v>
      </c>
      <c r="K18" s="100">
        <f>'表1-生产经营预算表'!M33*$B$18/'表1-生产经营预算表'!$D$33</f>
        <v>5353.7044148119821</v>
      </c>
      <c r="L18" s="100">
        <f>'表1-生产经营预算表'!N33*$B$18/'表1-生产经营预算表'!$D$33</f>
        <v>5685.8289049261048</v>
      </c>
      <c r="M18" s="100">
        <f>'表1-生产经营预算表'!O33*$B$18/'表1-生产经营预算表'!$D$33</f>
        <v>5385.5494025837816</v>
      </c>
      <c r="N18" s="100">
        <f>'表1-生产经营预算表'!P33*$B$18/'表1-生产经营预算表'!$D$33</f>
        <v>5098.1905357212181</v>
      </c>
      <c r="O18" s="100">
        <f t="shared" ref="O18" si="11">SUM(C18:N18)</f>
        <v>60138.746707079037</v>
      </c>
      <c r="P18" s="111">
        <f t="shared" si="7"/>
        <v>2776.2716929208182</v>
      </c>
      <c r="Q18" s="111">
        <f t="shared" si="6"/>
        <v>27596.845859437657</v>
      </c>
      <c r="R18" s="111"/>
    </row>
    <row r="19" spans="1:18" ht="24" customHeight="1">
      <c r="A19" s="101" t="s">
        <v>113</v>
      </c>
      <c r="B19" s="82">
        <v>74163.595206439481</v>
      </c>
      <c r="C19" s="100">
        <f>'表1-生产经营预算表'!E38*$B$19/'表1-生产经营预算表'!$D$38</f>
        <v>5545.6959954262929</v>
      </c>
      <c r="D19" s="100">
        <f>'表1-生产经营预算表'!F38*$B$19/'表1-生产经营预算表'!$D$38</f>
        <v>5474.6542603315993</v>
      </c>
      <c r="E19" s="100">
        <f>'表1-生产经营预算表'!G38*$B$19/'表1-生产经营预算表'!$D$38</f>
        <v>5445.711271181035</v>
      </c>
      <c r="F19" s="100">
        <f>'表1-生产经营预算表'!H38*$B$19/'表1-生产经营预算表'!$D$38</f>
        <v>5442.6221722883329</v>
      </c>
      <c r="G19" s="100">
        <f>'表1-生产经营预算表'!I38*$B$19/'表1-生产经营预算表'!$D$38</f>
        <v>5254.8966461646733</v>
      </c>
      <c r="H19" s="100">
        <f>'表1-生产经营预算表'!J38*$B$19/'表1-生产经营预算表'!$D$38</f>
        <v>5128.8927410558817</v>
      </c>
      <c r="I19" s="100">
        <f>'表1-生产经营预算表'!K38*$B$19/'表1-生产经营预算表'!$D$38</f>
        <v>6073.1581496136987</v>
      </c>
      <c r="J19" s="100">
        <f>'表1-生产经营预算表'!L38*$B$19/'表1-生产经营预算表'!$D$38</f>
        <v>6855.6176925941272</v>
      </c>
      <c r="K19" s="100">
        <f>'表1-生产经营预算表'!M38*$B$19/'表1-生产经营预算表'!$D$38</f>
        <v>6321.8591649606005</v>
      </c>
      <c r="L19" s="100">
        <f>'表1-生产经营预算表'!N38*$B$19/'表1-生产经营预算表'!$D$38</f>
        <v>6685.2413432238945</v>
      </c>
      <c r="M19" s="100">
        <f>'表1-生产经营预算表'!O38*$B$19/'表1-生产经营预算表'!$D$38</f>
        <v>6317.6812667059021</v>
      </c>
      <c r="N19" s="100">
        <f>'表1-生产经营预算表'!P38*$B$19/'表1-生产经营预算表'!$D$38</f>
        <v>5983.6112719910225</v>
      </c>
      <c r="O19" s="100">
        <f t="shared" ref="O19:O37" si="12">SUM(C19:N19)</f>
        <v>70529.641975537059</v>
      </c>
      <c r="P19" s="111">
        <f t="shared" si="7"/>
        <v>3633.9532309024216</v>
      </c>
      <c r="Q19" s="111">
        <f t="shared" si="6"/>
        <v>32292.473086447815</v>
      </c>
      <c r="R19" s="111"/>
    </row>
    <row r="20" spans="1:18" ht="24" customHeight="1">
      <c r="A20" s="101" t="s">
        <v>114</v>
      </c>
      <c r="B20" s="8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13">
        <f t="shared" si="12"/>
        <v>0</v>
      </c>
      <c r="P20" s="111">
        <f t="shared" si="7"/>
        <v>0</v>
      </c>
      <c r="Q20" s="111">
        <f t="shared" si="6"/>
        <v>0</v>
      </c>
      <c r="R20" s="111"/>
    </row>
    <row r="21" spans="1:18" ht="24" customHeight="1">
      <c r="A21" s="101" t="s">
        <v>115</v>
      </c>
      <c r="B21" s="82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13">
        <f t="shared" si="12"/>
        <v>0</v>
      </c>
      <c r="P21" s="111">
        <f t="shared" si="7"/>
        <v>0</v>
      </c>
      <c r="Q21" s="111">
        <f t="shared" si="6"/>
        <v>0</v>
      </c>
      <c r="R21" s="111"/>
    </row>
    <row r="22" spans="1:18" ht="24" customHeight="1">
      <c r="A22" s="101" t="s">
        <v>116</v>
      </c>
      <c r="B22" s="8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13">
        <f t="shared" si="12"/>
        <v>0</v>
      </c>
      <c r="P22" s="111">
        <f t="shared" si="7"/>
        <v>0</v>
      </c>
      <c r="Q22" s="111">
        <f t="shared" si="6"/>
        <v>0</v>
      </c>
      <c r="R22" s="111"/>
    </row>
    <row r="23" spans="1:18" ht="24" customHeight="1">
      <c r="A23" s="101" t="s">
        <v>117</v>
      </c>
      <c r="B23" s="8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13">
        <f t="shared" si="12"/>
        <v>0</v>
      </c>
      <c r="P23" s="111">
        <f t="shared" si="7"/>
        <v>0</v>
      </c>
      <c r="Q23" s="111">
        <f t="shared" si="6"/>
        <v>0</v>
      </c>
      <c r="R23" s="111"/>
    </row>
    <row r="24" spans="1:18" ht="24" customHeight="1">
      <c r="A24" s="101" t="s">
        <v>118</v>
      </c>
      <c r="B24" s="82">
        <v>25448.382032443638</v>
      </c>
      <c r="C24" s="100">
        <f>大项成本月分解!C2</f>
        <v>1905.1654255501267</v>
      </c>
      <c r="D24" s="100">
        <f>大项成本月分解!D2</f>
        <v>1881.4831711509596</v>
      </c>
      <c r="E24" s="100">
        <f>大项成本月分解!E2</f>
        <v>1872.1974695653594</v>
      </c>
      <c r="F24" s="100">
        <f>大项成本月分解!F2</f>
        <v>1873.9409135933172</v>
      </c>
      <c r="G24" s="100">
        <f>大项成本月分解!G2</f>
        <v>1816.1044041459081</v>
      </c>
      <c r="H24" s="100">
        <f>大项成本月分解!H2</f>
        <v>1777.6768431556623</v>
      </c>
      <c r="I24" s="100">
        <f>大项成本月分解!I2</f>
        <v>2103.9893129937377</v>
      </c>
      <c r="J24" s="100">
        <f>大项成本月分解!J2</f>
        <v>2346.5811393789763</v>
      </c>
      <c r="K24" s="100">
        <f>大项成本月分解!K2</f>
        <v>2166.4739562864024</v>
      </c>
      <c r="L24" s="100">
        <f>大项成本月分解!L2</f>
        <v>2298.9220072127609</v>
      </c>
      <c r="M24" s="100">
        <f>大项成本月分解!M2</f>
        <v>2174.6465258955204</v>
      </c>
      <c r="N24" s="100">
        <f>大项成本月分解!N2</f>
        <v>2059.2896261384035</v>
      </c>
      <c r="O24" s="100">
        <f t="shared" si="12"/>
        <v>24276.470795067136</v>
      </c>
      <c r="P24" s="111">
        <f t="shared" si="7"/>
        <v>1171.911237376502</v>
      </c>
      <c r="Q24" s="111">
        <f t="shared" si="6"/>
        <v>11126.568227161333</v>
      </c>
      <c r="R24" s="111"/>
    </row>
    <row r="25" spans="1:18" ht="24" customHeight="1">
      <c r="A25" s="226" t="s">
        <v>227</v>
      </c>
      <c r="B25" s="82">
        <v>24015.512107874285</v>
      </c>
      <c r="C25" s="100">
        <f>大项成本月分解!C22</f>
        <v>1779.610236874963</v>
      </c>
      <c r="D25" s="100">
        <f>大项成本月分解!D22</f>
        <v>1779.610236874963</v>
      </c>
      <c r="E25" s="100">
        <f>大项成本月分解!E22</f>
        <v>1779.610236874963</v>
      </c>
      <c r="F25" s="100">
        <f>大项成本月分解!F22</f>
        <v>1811.388991104873</v>
      </c>
      <c r="G25" s="100">
        <f>大项成本月分解!G22</f>
        <v>1865.7204096269772</v>
      </c>
      <c r="H25" s="100">
        <f>大项成本月分解!H22</f>
        <v>1906.7252537946031</v>
      </c>
      <c r="I25" s="100">
        <f>大项成本月分解!I22</f>
        <v>1906.7252537946031</v>
      </c>
      <c r="J25" s="100">
        <f>大项成本月分解!J22</f>
        <v>2097.3977791740635</v>
      </c>
      <c r="K25" s="100">
        <f>大项成本月分解!K22</f>
        <v>2224.5127960937039</v>
      </c>
      <c r="L25" s="100">
        <f>大项成本月分解!L22</f>
        <v>2288.0703045535238</v>
      </c>
      <c r="M25" s="100">
        <f>大项成本月分解!M22</f>
        <v>2288.0703045535238</v>
      </c>
      <c r="N25" s="100">
        <f>大项成本月分解!N22</f>
        <v>2288.0703045535238</v>
      </c>
      <c r="O25" s="100">
        <f t="shared" si="12"/>
        <v>24015.512107874278</v>
      </c>
      <c r="P25" s="111">
        <f t="shared" si="7"/>
        <v>0</v>
      </c>
      <c r="Q25" s="111">
        <f t="shared" si="6"/>
        <v>10922.665365151341</v>
      </c>
      <c r="R25" s="111"/>
    </row>
    <row r="26" spans="1:18" ht="24" customHeight="1">
      <c r="A26" s="105" t="s">
        <v>119</v>
      </c>
      <c r="B26" s="82">
        <v>27786.39305674452</v>
      </c>
      <c r="C26" s="100">
        <f>大项成本月分解!C7</f>
        <v>1829.3053418139148</v>
      </c>
      <c r="D26" s="100">
        <f>大项成本月分解!D7</f>
        <v>2280.6014693632342</v>
      </c>
      <c r="E26" s="100">
        <f>大项成本月分解!E7</f>
        <v>1882.625870943521</v>
      </c>
      <c r="F26" s="100">
        <f>大项成本月分解!F7</f>
        <v>2012.2349907059074</v>
      </c>
      <c r="G26" s="100">
        <f>大项成本月分解!G7</f>
        <v>1815.2259863712893</v>
      </c>
      <c r="H26" s="100">
        <f>大项成本月分解!H7</f>
        <v>1891.2821048394467</v>
      </c>
      <c r="I26" s="100">
        <f>大项成本月分解!I7</f>
        <v>2653.5731981515864</v>
      </c>
      <c r="J26" s="100">
        <f>大项成本月分解!J7</f>
        <v>3114.88964650961</v>
      </c>
      <c r="K26" s="100">
        <f>大项成本月分解!K7</f>
        <v>2254.7636342581454</v>
      </c>
      <c r="L26" s="100">
        <f>大项成本月分解!L7</f>
        <v>2551.676741828825</v>
      </c>
      <c r="M26" s="100">
        <f>大项成本月分解!M7</f>
        <v>2117.0847257705464</v>
      </c>
      <c r="N26" s="100">
        <f>大项成本月分解!N7</f>
        <v>2084.6680391046593</v>
      </c>
      <c r="O26" s="100">
        <f t="shared" si="12"/>
        <v>26487.931749660689</v>
      </c>
      <c r="P26" s="111">
        <f t="shared" si="7"/>
        <v>1298.4613070838313</v>
      </c>
      <c r="Q26" s="111">
        <f t="shared" si="6"/>
        <v>11711.275764037313</v>
      </c>
      <c r="R26" s="111"/>
    </row>
    <row r="27" spans="1:18" ht="24" customHeight="1">
      <c r="A27" s="99" t="s">
        <v>120</v>
      </c>
      <c r="B27" s="82">
        <v>3353.5806631503838</v>
      </c>
      <c r="C27" s="100">
        <f>$B$27/$B$5*C5</f>
        <v>212.41401504892835</v>
      </c>
      <c r="D27" s="100">
        <f t="shared" ref="D27" si="13">$B$27/$B$5*D5</f>
        <v>284.74316985763005</v>
      </c>
      <c r="E27" s="100">
        <f t="shared" ref="E27:N27" si="14">$B$27/$B$5*E5</f>
        <v>222.40902877251838</v>
      </c>
      <c r="F27" s="100">
        <f t="shared" si="14"/>
        <v>242.61864658561106</v>
      </c>
      <c r="G27" s="100">
        <f t="shared" si="14"/>
        <v>214.27935758636639</v>
      </c>
      <c r="H27" s="100">
        <f t="shared" si="14"/>
        <v>231.69065103975342</v>
      </c>
      <c r="I27" s="100">
        <f t="shared" si="14"/>
        <v>332.15972416715283</v>
      </c>
      <c r="J27" s="100">
        <f t="shared" si="14"/>
        <v>394.34764669725485</v>
      </c>
      <c r="K27" s="100">
        <f t="shared" si="14"/>
        <v>267.64496791371943</v>
      </c>
      <c r="L27" s="100">
        <f t="shared" si="14"/>
        <v>308.75515366591839</v>
      </c>
      <c r="M27" s="100">
        <f t="shared" si="14"/>
        <v>245.74042787622869</v>
      </c>
      <c r="N27" s="100">
        <f t="shared" si="14"/>
        <v>245.86181762119932</v>
      </c>
      <c r="O27" s="100">
        <f t="shared" si="12"/>
        <v>3202.6646068322812</v>
      </c>
      <c r="P27" s="111">
        <f t="shared" si="7"/>
        <v>150.91605631810262</v>
      </c>
      <c r="Q27" s="111">
        <f t="shared" si="6"/>
        <v>1408.1548688908076</v>
      </c>
      <c r="R27" s="111"/>
    </row>
    <row r="28" spans="1:18" ht="24" customHeight="1">
      <c r="A28" s="99" t="s">
        <v>121</v>
      </c>
      <c r="B28" s="82">
        <v>31845.911465586905</v>
      </c>
      <c r="C28" s="100">
        <f>大项成本月分解!C11</f>
        <v>2653.8259554655751</v>
      </c>
      <c r="D28" s="100">
        <f>大项成本月分解!D11</f>
        <v>2653.8259554655751</v>
      </c>
      <c r="E28" s="100">
        <f>大项成本月分解!E11</f>
        <v>2653.8259554655751</v>
      </c>
      <c r="F28" s="100">
        <f>大项成本月分解!F11</f>
        <v>2653.8259554655751</v>
      </c>
      <c r="G28" s="100">
        <f>大项成本月分解!G11</f>
        <v>2653.8259554655751</v>
      </c>
      <c r="H28" s="100">
        <f>大项成本月分解!H11</f>
        <v>2653.8259554655751</v>
      </c>
      <c r="I28" s="100">
        <f>大项成本月分解!I11</f>
        <v>2653.8259554655751</v>
      </c>
      <c r="J28" s="100">
        <f>大项成本月分解!J11</f>
        <v>2653.8259554655751</v>
      </c>
      <c r="K28" s="100">
        <f>大项成本月分解!K11</f>
        <v>2653.8259554655751</v>
      </c>
      <c r="L28" s="100">
        <f>大项成本月分解!L11</f>
        <v>2653.8259554655751</v>
      </c>
      <c r="M28" s="100">
        <f>大项成本月分解!M11</f>
        <v>2653.8259554655751</v>
      </c>
      <c r="N28" s="100">
        <f>大项成本月分解!N11</f>
        <v>2653.8259554655751</v>
      </c>
      <c r="O28" s="100">
        <f t="shared" si="12"/>
        <v>31845.911465586894</v>
      </c>
      <c r="P28" s="111">
        <f t="shared" si="7"/>
        <v>0</v>
      </c>
      <c r="Q28" s="111">
        <f t="shared" si="6"/>
        <v>15922.955732793449</v>
      </c>
      <c r="R28" s="111"/>
    </row>
    <row r="29" spans="1:18" ht="24" customHeight="1">
      <c r="A29" s="99" t="s">
        <v>122</v>
      </c>
      <c r="B29" s="82">
        <v>52999.516371773345</v>
      </c>
      <c r="C29" s="100">
        <f>$B$29/12</f>
        <v>4416.6263643144457</v>
      </c>
      <c r="D29" s="100">
        <f>$B$29/12</f>
        <v>4416.6263643144457</v>
      </c>
      <c r="E29" s="100">
        <f t="shared" ref="E29:N29" si="15">$B$29/12</f>
        <v>4416.6263643144457</v>
      </c>
      <c r="F29" s="100">
        <f t="shared" si="15"/>
        <v>4416.6263643144457</v>
      </c>
      <c r="G29" s="100">
        <f t="shared" si="15"/>
        <v>4416.6263643144457</v>
      </c>
      <c r="H29" s="100">
        <f t="shared" si="15"/>
        <v>4416.6263643144457</v>
      </c>
      <c r="I29" s="100">
        <f t="shared" si="15"/>
        <v>4416.6263643144457</v>
      </c>
      <c r="J29" s="100">
        <f t="shared" si="15"/>
        <v>4416.6263643144457</v>
      </c>
      <c r="K29" s="100">
        <f t="shared" si="15"/>
        <v>4416.6263643144457</v>
      </c>
      <c r="L29" s="100">
        <f t="shared" si="15"/>
        <v>4416.6263643144457</v>
      </c>
      <c r="M29" s="100">
        <f t="shared" si="15"/>
        <v>4416.6263643144457</v>
      </c>
      <c r="N29" s="100">
        <f t="shared" si="15"/>
        <v>4416.6263643144457</v>
      </c>
      <c r="O29" s="100">
        <f t="shared" si="12"/>
        <v>52999.516371773359</v>
      </c>
      <c r="P29" s="111">
        <f t="shared" si="7"/>
        <v>0</v>
      </c>
      <c r="Q29" s="111">
        <f t="shared" si="6"/>
        <v>26499.758185886672</v>
      </c>
      <c r="R29" s="111"/>
    </row>
    <row r="30" spans="1:18" ht="24" customHeight="1">
      <c r="A30" s="99" t="s">
        <v>123</v>
      </c>
      <c r="B30" s="82">
        <v>22473.843064697496</v>
      </c>
      <c r="C30" s="98">
        <f>C6*($B$30-'表3-利润预算表'!$B$20)/$B$6+'表3-利润预算表'!C20</f>
        <v>1024.4831796606411</v>
      </c>
      <c r="D30" s="98">
        <f>D6*($B$30-'表3-利润预算表'!$B$20)/$B$6+'表3-利润预算表'!D20</f>
        <v>2368.1534212854813</v>
      </c>
      <c r="E30" s="98">
        <f>E6*($B$30-'表3-利润预算表'!$B$20)/$B$6+'表3-利润预算表'!E20</f>
        <v>1036.1558119871479</v>
      </c>
      <c r="F30" s="98">
        <f>F6*($B$30-'表3-利润预算表'!$B$20)/$B$6+'表3-利润预算表'!F20</f>
        <v>1575.0456947664177</v>
      </c>
      <c r="G30" s="98">
        <f>G6*($B$30-'表3-利润预算表'!$B$20)/$B$6+'表3-利润预算表'!G20</f>
        <v>800.46018992366635</v>
      </c>
      <c r="H30" s="98">
        <f>H6*($B$30-'表3-利润预算表'!$B$20)/$B$6+'表3-利润预算表'!H20</f>
        <v>1315.4657365252901</v>
      </c>
      <c r="I30" s="98">
        <f>I6*($B$30-'表3-利润预算表'!$B$20)/$B$6+'表3-利润预算表'!I20</f>
        <v>3637.6948915636381</v>
      </c>
      <c r="J30" s="98">
        <f>J6*($B$30-'表3-利润预算表'!$B$20)/$B$6+'表3-利润预算表'!J20</f>
        <v>4504.9601777900562</v>
      </c>
      <c r="K30" s="98">
        <f>K6*($B$30-'表3-利润预算表'!$B$20)/$B$6+'表3-利润预算表'!K20</f>
        <v>1452.6781121787335</v>
      </c>
      <c r="L30" s="98">
        <f>L6*($B$30-'表3-利润预算表'!$B$20)/$B$6+'表3-利润预算表'!L20</f>
        <v>2245.8633089189834</v>
      </c>
      <c r="M30" s="98">
        <f>M6*($B$30-'表3-利润预算表'!$B$20)/$B$6+'表3-利润预算表'!M20</f>
        <v>776.37303662264685</v>
      </c>
      <c r="N30" s="98">
        <f>N6*($B$30-'表3-利润预算表'!$B$20)/$B$6+'表3-利润预算表'!N20</f>
        <v>986.24155043219957</v>
      </c>
      <c r="O30" s="100">
        <f t="shared" si="12"/>
        <v>21723.575111654904</v>
      </c>
      <c r="P30" s="111">
        <f t="shared" si="7"/>
        <v>750.26795304259213</v>
      </c>
      <c r="Q30" s="111">
        <f t="shared" si="6"/>
        <v>8119.764034148644</v>
      </c>
      <c r="R30" s="111"/>
    </row>
    <row r="31" spans="1:18" ht="24" customHeight="1">
      <c r="A31" s="99" t="s">
        <v>124</v>
      </c>
      <c r="B31" s="82">
        <v>10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>
        <v>10</v>
      </c>
      <c r="O31" s="113">
        <f t="shared" si="12"/>
        <v>10</v>
      </c>
      <c r="P31" s="111">
        <f t="shared" si="7"/>
        <v>0</v>
      </c>
      <c r="Q31" s="111">
        <f t="shared" si="6"/>
        <v>0</v>
      </c>
      <c r="R31" s="111"/>
    </row>
    <row r="32" spans="1:18" ht="24" customHeight="1">
      <c r="A32" s="99" t="s">
        <v>125</v>
      </c>
      <c r="B32" s="79">
        <v>0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13">
        <f t="shared" si="12"/>
        <v>0</v>
      </c>
      <c r="P32" s="111">
        <f t="shared" si="7"/>
        <v>0</v>
      </c>
      <c r="Q32" s="111">
        <f t="shared" si="6"/>
        <v>0</v>
      </c>
      <c r="R32" s="111"/>
    </row>
    <row r="33" spans="1:18" ht="24" customHeight="1">
      <c r="A33" s="97" t="s">
        <v>126</v>
      </c>
      <c r="B33" s="79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13">
        <f t="shared" si="12"/>
        <v>0</v>
      </c>
      <c r="P33" s="111">
        <f t="shared" si="7"/>
        <v>0</v>
      </c>
      <c r="Q33" s="111">
        <f t="shared" si="6"/>
        <v>0</v>
      </c>
      <c r="R33" s="111"/>
    </row>
    <row r="34" spans="1:18" ht="24" customHeight="1">
      <c r="A34" s="97" t="s">
        <v>127</v>
      </c>
      <c r="B34" s="79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13">
        <f t="shared" si="12"/>
        <v>0</v>
      </c>
      <c r="P34" s="111">
        <f t="shared" si="7"/>
        <v>0</v>
      </c>
      <c r="Q34" s="111">
        <f t="shared" si="6"/>
        <v>0</v>
      </c>
      <c r="R34" s="111"/>
    </row>
    <row r="35" spans="1:18" ht="24" customHeight="1">
      <c r="A35" s="97" t="s">
        <v>128</v>
      </c>
      <c r="B35" s="79">
        <v>35037.71120461059</v>
      </c>
      <c r="C35" s="98">
        <v>-1392.2112404899001</v>
      </c>
      <c r="D35" s="98">
        <v>6968.7281896713539</v>
      </c>
      <c r="E35" s="98">
        <v>-215.42873307724949</v>
      </c>
      <c r="F35" s="98">
        <v>2268.9471328134314</v>
      </c>
      <c r="G35" s="98">
        <v>-1322.0129416605123</v>
      </c>
      <c r="H35" s="98">
        <v>1213.0099302051967</v>
      </c>
      <c r="I35" s="98">
        <v>11381.214578893247</v>
      </c>
      <c r="J35" s="98">
        <v>14561.656085098584</v>
      </c>
      <c r="K35" s="98">
        <v>870.5040224014956</v>
      </c>
      <c r="L35" s="98">
        <v>4207.0881568716577</v>
      </c>
      <c r="M35" s="98">
        <v>-2344.809583592687</v>
      </c>
      <c r="N35" s="98">
        <v>-1158.9743925238727</v>
      </c>
      <c r="O35" s="98">
        <v>35037.711204610743</v>
      </c>
      <c r="P35" s="111">
        <f t="shared" si="7"/>
        <v>-1.5279510989785194E-10</v>
      </c>
      <c r="Q35" s="111">
        <f t="shared" si="6"/>
        <v>7521.0323374623204</v>
      </c>
      <c r="R35" s="111"/>
    </row>
    <row r="36" spans="1:18" ht="24" customHeight="1">
      <c r="A36" s="106" t="s">
        <v>129</v>
      </c>
      <c r="B36" s="107">
        <v>58187.988945772398</v>
      </c>
      <c r="C36" s="100">
        <f>C5*0.11</f>
        <v>3685.5962629457508</v>
      </c>
      <c r="D36" s="100">
        <f t="shared" ref="D36:N36" si="16">D5*0.11</f>
        <v>4940.5796622453281</v>
      </c>
      <c r="E36" s="100">
        <f t="shared" si="16"/>
        <v>3859.0197784292732</v>
      </c>
      <c r="F36" s="100">
        <f t="shared" si="16"/>
        <v>4209.6769225463377</v>
      </c>
      <c r="G36" s="100">
        <f t="shared" si="16"/>
        <v>3717.9618273531273</v>
      </c>
      <c r="H36" s="100">
        <f t="shared" si="16"/>
        <v>4020.0652364435</v>
      </c>
      <c r="I36" s="100">
        <f t="shared" si="16"/>
        <v>5763.3044496125221</v>
      </c>
      <c r="J36" s="100">
        <f t="shared" si="16"/>
        <v>6842.3272948071253</v>
      </c>
      <c r="K36" s="100">
        <f t="shared" si="16"/>
        <v>4643.908704949723</v>
      </c>
      <c r="L36" s="100">
        <f t="shared" si="16"/>
        <v>5357.2116710577238</v>
      </c>
      <c r="M36" s="100">
        <f t="shared" si="16"/>
        <v>4263.8429598286893</v>
      </c>
      <c r="N36" s="100">
        <f t="shared" si="16"/>
        <v>4265.9491936867544</v>
      </c>
      <c r="O36" s="100">
        <f t="shared" si="12"/>
        <v>55569.443963905862</v>
      </c>
      <c r="P36" s="109">
        <f>B36-O36</f>
        <v>2618.5449818665365</v>
      </c>
      <c r="Q36" s="111">
        <f t="shared" si="6"/>
        <v>24432.899689963317</v>
      </c>
      <c r="R36" s="111"/>
    </row>
    <row r="37" spans="1:18" ht="24" customHeight="1">
      <c r="A37" s="106" t="s">
        <v>130</v>
      </c>
      <c r="B37" s="107">
        <v>600907.70663461287</v>
      </c>
      <c r="C37" s="100">
        <f>C5*1.11+C11</f>
        <v>38591.016835179857</v>
      </c>
      <c r="D37" s="100">
        <f t="shared" ref="D37:N37" si="17">D5*1.11+D11</f>
        <v>50854.940228111955</v>
      </c>
      <c r="E37" s="100">
        <f t="shared" si="17"/>
        <v>40441.017764149939</v>
      </c>
      <c r="F37" s="100">
        <f t="shared" si="17"/>
        <v>43629.467127513046</v>
      </c>
      <c r="G37" s="100">
        <f t="shared" si="17"/>
        <v>38617.614803290649</v>
      </c>
      <c r="H37" s="100">
        <f t="shared" si="17"/>
        <v>41716.112840475318</v>
      </c>
      <c r="I37" s="100">
        <f t="shared" si="17"/>
        <v>59056.981264271824</v>
      </c>
      <c r="J37" s="100">
        <f t="shared" si="17"/>
        <v>69845.302702144632</v>
      </c>
      <c r="K37" s="100">
        <f t="shared" si="17"/>
        <v>48261.260568129022</v>
      </c>
      <c r="L37" s="100">
        <f t="shared" si="17"/>
        <v>55159.135953400677</v>
      </c>
      <c r="M37" s="100">
        <f t="shared" si="17"/>
        <v>44126.051685544044</v>
      </c>
      <c r="N37" s="100">
        <f t="shared" si="17"/>
        <v>44185.305499929978</v>
      </c>
      <c r="O37" s="100">
        <f t="shared" si="12"/>
        <v>574484.20727214089</v>
      </c>
      <c r="P37" s="109">
        <f t="shared" si="7"/>
        <v>26423.499362471979</v>
      </c>
      <c r="Q37" s="111">
        <f t="shared" si="6"/>
        <v>253850.16959872076</v>
      </c>
      <c r="R37" s="111"/>
    </row>
    <row r="38" spans="1:18" ht="24" customHeight="1">
      <c r="B38" s="91">
        <f>B34</f>
        <v>0</v>
      </c>
      <c r="C38" s="115">
        <f>$B$39*C39</f>
        <v>418.03450470178421</v>
      </c>
      <c r="D38" s="96">
        <f t="shared" ref="D38:I38" si="18">$B$39*D39</f>
        <v>1105.6747437865292</v>
      </c>
      <c r="E38" s="96">
        <f t="shared" si="18"/>
        <v>80.791393664881525</v>
      </c>
      <c r="F38" s="96">
        <f t="shared" si="18"/>
        <v>855.86359784593446</v>
      </c>
      <c r="G38" s="96">
        <f t="shared" si="18"/>
        <v>736.01824622098877</v>
      </c>
      <c r="H38" s="96">
        <f t="shared" si="18"/>
        <v>1068.700663360599</v>
      </c>
      <c r="I38" s="96">
        <f t="shared" si="18"/>
        <v>4805.6591420779514</v>
      </c>
      <c r="J38" s="96">
        <f t="shared" ref="J38" si="19">$B$39*J39</f>
        <v>5836.9279488362572</v>
      </c>
      <c r="K38" s="96">
        <f>$B$39*K39</f>
        <v>220.12408483412361</v>
      </c>
      <c r="L38" s="96">
        <f>$B$39*L39</f>
        <v>1111.9919117061845</v>
      </c>
      <c r="M38" s="96">
        <f>$B$39*M39</f>
        <v>185.99884200889463</v>
      </c>
      <c r="N38" s="96">
        <f>$B$39*N39</f>
        <v>-291.30848819590534</v>
      </c>
      <c r="O38" s="108"/>
    </row>
    <row r="39" spans="1:18" ht="24" customHeight="1">
      <c r="B39" s="91">
        <v>16134.433036992299</v>
      </c>
      <c r="C39" s="108">
        <v>2.5909463551854198E-2</v>
      </c>
      <c r="D39" s="108">
        <v>6.8528887333784094E-2</v>
      </c>
      <c r="E39" s="108">
        <v>5.0073896913295102E-3</v>
      </c>
      <c r="F39" s="108">
        <v>5.3045780777276098E-2</v>
      </c>
      <c r="G39" s="108">
        <v>4.5617856204397102E-2</v>
      </c>
      <c r="H39" s="108">
        <v>6.6237261694311197E-2</v>
      </c>
      <c r="I39" s="108">
        <v>0.29785113186560402</v>
      </c>
      <c r="J39" s="108">
        <v>0.36176839529803201</v>
      </c>
      <c r="K39" s="108">
        <v>1.3643124882630401E-2</v>
      </c>
      <c r="L39" s="108">
        <v>6.8920420640543101E-2</v>
      </c>
      <c r="M39" s="108">
        <v>1.1528068050637099E-2</v>
      </c>
      <c r="N39" s="108">
        <v>-1.8055080555232798E-2</v>
      </c>
      <c r="O39" s="114">
        <v>1.1528068050637099E-2</v>
      </c>
      <c r="P39" s="114">
        <v>-1.8055080555232798E-2</v>
      </c>
    </row>
    <row r="40" spans="1:18" ht="24" customHeight="1">
      <c r="B40" s="91">
        <f>B36/0.11</f>
        <v>528981.71768884</v>
      </c>
      <c r="C40" s="109">
        <f>C4-C13-C35</f>
        <v>0</v>
      </c>
      <c r="D40" s="109">
        <f t="shared" ref="D40" si="20">D4-D13-D35</f>
        <v>0</v>
      </c>
      <c r="E40" s="109">
        <f t="shared" ref="E40:M40" si="21">E4-E13-E35</f>
        <v>0</v>
      </c>
      <c r="F40" s="109">
        <f t="shared" si="21"/>
        <v>0</v>
      </c>
      <c r="G40" s="109">
        <f t="shared" si="21"/>
        <v>0</v>
      </c>
      <c r="H40" s="109">
        <f t="shared" si="21"/>
        <v>0</v>
      </c>
      <c r="I40" s="109">
        <f t="shared" si="21"/>
        <v>0</v>
      </c>
      <c r="J40" s="109">
        <f t="shared" si="21"/>
        <v>0</v>
      </c>
      <c r="K40" s="109">
        <f t="shared" si="21"/>
        <v>0</v>
      </c>
      <c r="L40" s="109">
        <f t="shared" si="21"/>
        <v>0</v>
      </c>
      <c r="M40" s="109">
        <f t="shared" si="21"/>
        <v>0</v>
      </c>
      <c r="N40" s="109"/>
    </row>
    <row r="41" spans="1:18" ht="24" customHeight="1">
      <c r="B41" s="91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</row>
    <row r="42" spans="1:18" ht="24" customHeight="1">
      <c r="B42" s="227"/>
      <c r="C42" s="227">
        <f>C6-C7-C9</f>
        <v>-2.1032064978498966E-12</v>
      </c>
      <c r="D42" s="227">
        <f>D6-D7-D9</f>
        <v>6.3096194935496897E-12</v>
      </c>
      <c r="E42" s="227">
        <f>E6-E7-E9</f>
        <v>-1.8758328224066645E-12</v>
      </c>
      <c r="F42" s="227">
        <f t="shared" ref="F42:N42" si="22">F6-F7-F9</f>
        <v>9.0949470177292824E-13</v>
      </c>
      <c r="G42" s="227">
        <f t="shared" si="22"/>
        <v>-4.7180037654470652E-12</v>
      </c>
      <c r="H42" s="227">
        <f t="shared" si="22"/>
        <v>2.9558577807620168E-12</v>
      </c>
      <c r="I42" s="227">
        <f t="shared" si="22"/>
        <v>1.1198153515579179E-11</v>
      </c>
      <c r="J42" s="227">
        <f t="shared" si="22"/>
        <v>1.0743406164692715E-11</v>
      </c>
      <c r="K42" s="227">
        <f t="shared" si="22"/>
        <v>-1.7621459846850485E-12</v>
      </c>
      <c r="L42" s="227">
        <f t="shared" si="22"/>
        <v>-1.1141310096718371E-11</v>
      </c>
      <c r="M42" s="227">
        <f t="shared" si="22"/>
        <v>5.5138116294983774E-12</v>
      </c>
      <c r="N42" s="227">
        <f t="shared" si="22"/>
        <v>-5.7980287238024175E-12</v>
      </c>
      <c r="O42" s="227">
        <f>O6-O7-O9</f>
        <v>-1.0004441719502211E-11</v>
      </c>
    </row>
    <row r="43" spans="1:18" ht="24" customHeight="1">
      <c r="A43" s="91"/>
      <c r="B43" s="110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8" ht="24" customHeight="1">
      <c r="C44" s="91">
        <f>C15+C17+C18+C19</f>
        <v>18412.328081044456</v>
      </c>
      <c r="D44" s="91">
        <f t="shared" ref="D44:N44" si="23">D15+D17+D18+D19</f>
        <v>19216.715374932028</v>
      </c>
      <c r="E44" s="91">
        <f t="shared" si="23"/>
        <v>18870.102767923432</v>
      </c>
      <c r="F44" s="91">
        <f t="shared" si="23"/>
        <v>18428.719138149194</v>
      </c>
      <c r="G44" s="91">
        <f t="shared" si="23"/>
        <v>18378.911010779742</v>
      </c>
      <c r="H44" s="91">
        <f t="shared" si="23"/>
        <v>17935.594893672969</v>
      </c>
      <c r="I44" s="91">
        <f t="shared" si="23"/>
        <v>19853.717664296433</v>
      </c>
      <c r="J44" s="91">
        <f t="shared" si="23"/>
        <v>24123.125754788169</v>
      </c>
      <c r="K44" s="91">
        <f t="shared" si="23"/>
        <v>22230.480538078391</v>
      </c>
      <c r="L44" s="91">
        <f t="shared" si="23"/>
        <v>23606.116444288611</v>
      </c>
      <c r="M44" s="91">
        <f t="shared" si="23"/>
        <v>22309.671123586908</v>
      </c>
      <c r="N44" s="91">
        <f t="shared" si="23"/>
        <v>21108.767195914435</v>
      </c>
      <c r="O44" s="91"/>
    </row>
    <row r="45" spans="1:18" ht="24" customHeight="1">
      <c r="C45" s="111">
        <f>C13-C44</f>
        <v>17885.303731679545</v>
      </c>
      <c r="D45" s="111">
        <f t="shared" ref="D45:N45" si="24">D13-D44</f>
        <v>19728.917001263238</v>
      </c>
      <c r="E45" s="111">
        <f t="shared" si="24"/>
        <v>17927.323950874481</v>
      </c>
      <c r="F45" s="111">
        <f t="shared" si="24"/>
        <v>18722.123934004077</v>
      </c>
      <c r="G45" s="111">
        <f t="shared" si="24"/>
        <v>17842.754906818289</v>
      </c>
      <c r="H45" s="111">
        <f t="shared" si="24"/>
        <v>18547.442780153651</v>
      </c>
      <c r="I45" s="111">
        <f t="shared" si="24"/>
        <v>22058.744571469615</v>
      </c>
      <c r="J45" s="111">
        <f t="shared" si="24"/>
        <v>24318.193567450748</v>
      </c>
      <c r="K45" s="111">
        <f t="shared" si="24"/>
        <v>20516.367302699411</v>
      </c>
      <c r="L45" s="111">
        <f t="shared" si="24"/>
        <v>21988.719681182676</v>
      </c>
      <c r="M45" s="111">
        <f t="shared" si="24"/>
        <v>19897.347185721133</v>
      </c>
      <c r="N45" s="111">
        <f t="shared" si="24"/>
        <v>19969.563502852659</v>
      </c>
    </row>
    <row r="46" spans="1:18" ht="24" customHeight="1">
      <c r="C46" s="91"/>
      <c r="D46" s="91"/>
      <c r="E46" s="91"/>
      <c r="F46" s="91"/>
      <c r="G46" s="91"/>
      <c r="H46" s="91"/>
      <c r="I46" s="91"/>
      <c r="J46" s="91"/>
      <c r="K46" s="91"/>
    </row>
    <row r="47" spans="1:18" ht="24" customHeight="1">
      <c r="C47" s="111"/>
    </row>
  </sheetData>
  <mergeCells count="3">
    <mergeCell ref="A1:O1"/>
    <mergeCell ref="A2:B2"/>
    <mergeCell ref="M2:O2"/>
  </mergeCells>
  <phoneticPr fontId="45" type="noConversion"/>
  <pageMargins left="0.75" right="0.75" top="1" bottom="1" header="0.5" footer="0.5"/>
  <pageSetup paperSize="9" firstPageNumber="4294963191" orientation="portrait" useFirstPageNumber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showGridLines="0" zoomScale="99" zoomScaleNormal="99" workbookViewId="0">
      <pane xSplit="2" ySplit="3" topLeftCell="C16" activePane="bottomRight" state="frozenSplit"/>
      <selection pane="topRight"/>
      <selection pane="bottomLeft"/>
      <selection pane="bottomRight" activeCell="R21" sqref="R21"/>
    </sheetView>
  </sheetViews>
  <sheetFormatPr defaultColWidth="9" defaultRowHeight="12"/>
  <cols>
    <col min="1" max="1" width="34.25" style="77" customWidth="1"/>
    <col min="2" max="2" width="12.25" style="77" customWidth="1"/>
    <col min="3" max="3" width="12.625" style="77" customWidth="1"/>
    <col min="4" max="4" width="11.25" style="77" bestFit="1" customWidth="1"/>
    <col min="5" max="5" width="8.875" style="77" customWidth="1"/>
    <col min="6" max="7" width="8.625" style="77" customWidth="1"/>
    <col min="8" max="8" width="11" style="77" customWidth="1"/>
    <col min="9" max="9" width="8.625" style="77" customWidth="1"/>
    <col min="10" max="10" width="9.875" style="77" customWidth="1"/>
    <col min="11" max="12" width="8.625" style="77" customWidth="1"/>
    <col min="13" max="13" width="12" style="77" customWidth="1"/>
    <col min="14" max="14" width="8.625" style="77" customWidth="1"/>
    <col min="15" max="15" width="11.125" style="77" customWidth="1"/>
    <col min="16" max="16" width="19.125" style="77" customWidth="1"/>
    <col min="17" max="17" width="13.875" style="77" customWidth="1"/>
    <col min="18" max="16384" width="9" style="77"/>
  </cols>
  <sheetData>
    <row r="1" spans="1:18" ht="33" customHeight="1">
      <c r="A1" s="290" t="s">
        <v>131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</row>
    <row r="2" spans="1:18" ht="14.25" customHeight="1">
      <c r="A2" s="287"/>
      <c r="B2" s="288"/>
      <c r="M2" s="289" t="s">
        <v>97</v>
      </c>
      <c r="N2" s="289"/>
      <c r="O2" s="289"/>
    </row>
    <row r="3" spans="1:18" ht="45">
      <c r="A3" s="1" t="s">
        <v>98</v>
      </c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8" s="76" customFormat="1" ht="16.5" customHeight="1">
      <c r="A4" s="78" t="s">
        <v>132</v>
      </c>
      <c r="B4" s="79">
        <v>528981.71768884058</v>
      </c>
      <c r="C4" s="80">
        <f>'表2-财务收支表'!C5</f>
        <v>33505.420572234099</v>
      </c>
      <c r="D4" s="80">
        <f>'表2-财务收支表'!D5</f>
        <v>44914.36056586662</v>
      </c>
      <c r="E4" s="80">
        <f>'表2-财务收支表'!E5</f>
        <v>35081.997985720664</v>
      </c>
      <c r="F4" s="80">
        <f>'表2-财务收支表'!F5</f>
        <v>38269.790204966703</v>
      </c>
      <c r="G4" s="80">
        <f>'表2-财务收支表'!G5</f>
        <v>33799.652975937519</v>
      </c>
      <c r="H4" s="80">
        <f>'表2-财务收支表'!H5</f>
        <v>36546.047604031817</v>
      </c>
      <c r="I4" s="80">
        <f>'表2-财务收支表'!I5</f>
        <v>52393.676814659295</v>
      </c>
      <c r="J4" s="80">
        <f>'表2-财务收支表'!J5</f>
        <v>62202.975407337501</v>
      </c>
      <c r="K4" s="80">
        <f>'表2-财务收支表'!K5</f>
        <v>42217.351863179298</v>
      </c>
      <c r="L4" s="80">
        <f>'表2-财务收支表'!L5</f>
        <v>48701.924282342945</v>
      </c>
      <c r="M4" s="80">
        <f>'表2-财务收支表'!M5</f>
        <v>38762.208725715354</v>
      </c>
      <c r="N4" s="80">
        <f>'表2-财务收支表'!N5</f>
        <v>38781.356306243222</v>
      </c>
      <c r="O4" s="80">
        <f>SUM(C4:N4)</f>
        <v>505176.76330823498</v>
      </c>
      <c r="P4" s="92">
        <f>B4-O4</f>
        <v>23804.954380605603</v>
      </c>
      <c r="Q4" s="92">
        <f>C4+D4+E4+F4+G4+H4</f>
        <v>222117.26990875741</v>
      </c>
      <c r="R4" s="92"/>
    </row>
    <row r="5" spans="1:18" ht="24">
      <c r="A5" s="81" t="s">
        <v>133</v>
      </c>
      <c r="B5" s="82">
        <v>432172.62265817245</v>
      </c>
      <c r="C5" s="82">
        <f>C4-C6-C7-C8-C9-C14-C45+C11</f>
        <v>31093.721525228459</v>
      </c>
      <c r="D5" s="82">
        <f>D4-D6-D7-D8-D9-D14-D45+D11</f>
        <v>32213.330744738327</v>
      </c>
      <c r="E5" s="82">
        <f>E4-E6-E7-E8-E9-E14-E45+E11</f>
        <v>31565.36071171068</v>
      </c>
      <c r="F5" s="82">
        <f t="shared" ref="F5:M5" si="0">F4-F6-F7-F8-F9-F14-F45+F11</f>
        <v>31324.762264535508</v>
      </c>
      <c r="G5" s="82">
        <f t="shared" si="0"/>
        <v>31262.732848011678</v>
      </c>
      <c r="H5" s="82">
        <f t="shared" si="0"/>
        <v>30978.303305894944</v>
      </c>
      <c r="I5" s="82">
        <f t="shared" si="0"/>
        <v>33721.860191299718</v>
      </c>
      <c r="J5" s="82">
        <f>J4-J6-J7-J8-J9-J14-J45+J11</f>
        <v>39148.182495803558</v>
      </c>
      <c r="K5" s="82">
        <f t="shared" si="0"/>
        <v>36892.842529592941</v>
      </c>
      <c r="L5" s="82">
        <f t="shared" si="0"/>
        <v>38802.247467289431</v>
      </c>
      <c r="M5" s="82">
        <f t="shared" si="0"/>
        <v>37086.266005450612</v>
      </c>
      <c r="N5" s="82">
        <f>N4-N6-N7-N8-N9-N14-N45+N11</f>
        <v>35770.573959615271</v>
      </c>
      <c r="O5" s="80">
        <f>SUM(C5:N5)</f>
        <v>409860.18404917116</v>
      </c>
      <c r="P5" s="93">
        <f>B5-O5</f>
        <v>22312.438609001285</v>
      </c>
      <c r="Q5" s="92">
        <f t="shared" ref="Q5:Q21" si="1">C5+D5+E5+F5+G5+H5</f>
        <v>188438.21140011962</v>
      </c>
      <c r="R5" s="92"/>
    </row>
    <row r="6" spans="1:18" ht="24">
      <c r="A6" s="83" t="s">
        <v>134</v>
      </c>
      <c r="B6" s="82">
        <v>958.6</v>
      </c>
      <c r="C6" s="84">
        <f>C4*D24</f>
        <v>60.717214010478038</v>
      </c>
      <c r="D6" s="84">
        <f t="shared" ref="D6:N6" si="2">D4*$D$24</f>
        <v>81.392049287732945</v>
      </c>
      <c r="E6" s="84">
        <f t="shared" si="2"/>
        <v>63.574225997907831</v>
      </c>
      <c r="F6" s="84">
        <f t="shared" si="2"/>
        <v>69.351018501664555</v>
      </c>
      <c r="G6" s="84">
        <f t="shared" si="2"/>
        <v>61.250410475986143</v>
      </c>
      <c r="H6" s="84">
        <f t="shared" si="2"/>
        <v>66.227319511696535</v>
      </c>
      <c r="I6" s="84">
        <f t="shared" si="2"/>
        <v>94.945773955983242</v>
      </c>
      <c r="J6" s="84">
        <f t="shared" si="2"/>
        <v>112.72180158889381</v>
      </c>
      <c r="K6" s="84">
        <f t="shared" si="2"/>
        <v>76.504635496398791</v>
      </c>
      <c r="L6" s="84">
        <f t="shared" si="2"/>
        <v>88.255724264019932</v>
      </c>
      <c r="M6" s="84">
        <f t="shared" si="2"/>
        <v>70.243360104795954</v>
      </c>
      <c r="N6" s="84">
        <f t="shared" si="2"/>
        <v>70.278058602079014</v>
      </c>
      <c r="O6" s="80">
        <f t="shared" ref="O6" si="3">SUM(C6:N6)</f>
        <v>915.46159179763663</v>
      </c>
      <c r="P6" s="92">
        <f t="shared" ref="P6:P21" si="4">B6-O6</f>
        <v>43.138408202363394</v>
      </c>
      <c r="Q6" s="92">
        <f t="shared" si="1"/>
        <v>402.51223778546603</v>
      </c>
      <c r="R6" s="92"/>
    </row>
    <row r="7" spans="1:18" ht="24">
      <c r="A7" s="83" t="s">
        <v>135</v>
      </c>
      <c r="B7" s="82">
        <v>29665.030578408994</v>
      </c>
      <c r="C7" s="84">
        <f>($B$7-'表2-财务收支表'!$B$26)/12+'表2-财务收支表'!C26</f>
        <v>1985.8584686192876</v>
      </c>
      <c r="D7" s="84">
        <f>($B$7-'表2-财务收支表'!$B$26)/12+'表2-财务收支表'!D26</f>
        <v>2437.154596168607</v>
      </c>
      <c r="E7" s="84">
        <f>($B$7-'表2-财务收支表'!$B$26)/12+'表2-财务收支表'!E26</f>
        <v>2039.1789977488938</v>
      </c>
      <c r="F7" s="84">
        <f>($B$7-'表2-财务收支表'!$B$26)/12+'表2-财务收支表'!F26</f>
        <v>2168.7881175112802</v>
      </c>
      <c r="G7" s="84">
        <f>($B$7-'表2-财务收支表'!$B$26)/12+'表2-财务收支表'!G26</f>
        <v>1971.7791131766621</v>
      </c>
      <c r="H7" s="84">
        <f>($B$7-'表2-财务收支表'!$B$26)/12+'表2-财务收支表'!H26</f>
        <v>2047.8352316448195</v>
      </c>
      <c r="I7" s="84">
        <f>($B$7-'表2-财务收支表'!$B$26)/12+'表2-财务收支表'!I26</f>
        <v>2810.1263249569593</v>
      </c>
      <c r="J7" s="84">
        <f>($B$7-'表2-财务收支表'!$B$26)/12+'表2-财务收支表'!J26</f>
        <v>3271.4427733149828</v>
      </c>
      <c r="K7" s="84">
        <f>($B$7-'表2-财务收支表'!$B$26)/12+'表2-财务收支表'!K26</f>
        <v>2411.3167610635182</v>
      </c>
      <c r="L7" s="84">
        <f>($B$7-'表2-财务收支表'!$B$26)/12+'表2-财务收支表'!L26</f>
        <v>2708.2298686341978</v>
      </c>
      <c r="M7" s="84">
        <f>($B$7-'表2-财务收支表'!$B$26)/12+'表2-财务收支表'!M26</f>
        <v>2273.6378525759192</v>
      </c>
      <c r="N7" s="84">
        <f>($B$7-'表2-财务收支表'!$B$26)/12+'表2-财务收支表'!N26</f>
        <v>2241.2211659100321</v>
      </c>
      <c r="O7" s="80">
        <f>SUM(C7:N7)</f>
        <v>28366.569271325159</v>
      </c>
      <c r="P7" s="92">
        <f t="shared" si="4"/>
        <v>1298.461307083835</v>
      </c>
      <c r="Q7" s="92">
        <f t="shared" si="1"/>
        <v>12650.59452486955</v>
      </c>
      <c r="R7" s="92"/>
    </row>
    <row r="8" spans="1:18" ht="24">
      <c r="A8" s="83" t="s">
        <v>136</v>
      </c>
      <c r="B8" s="82">
        <v>6846.7162753655693</v>
      </c>
      <c r="C8" s="84">
        <f>($B$8-'表2-财务收支表'!$B$27)/12+'表2-财务收支表'!C27</f>
        <v>503.5086494001938</v>
      </c>
      <c r="D8" s="84">
        <f>($B$8-'表2-财务收支表'!$B$27)/12+'表2-财务收支表'!D27</f>
        <v>575.83780420889548</v>
      </c>
      <c r="E8" s="84">
        <f>($B$8-'表2-财务收支表'!$B$27)/12+'表2-财务收支表'!E27</f>
        <v>513.50366312378389</v>
      </c>
      <c r="F8" s="84">
        <f>($B$8-'表2-财务收支表'!$B$27)/12+'表2-财务收支表'!F27</f>
        <v>533.71328093687657</v>
      </c>
      <c r="G8" s="84">
        <f>($B$8-'表2-财务收支表'!$B$27)/12+'表2-财务收支表'!G27</f>
        <v>505.3739919376319</v>
      </c>
      <c r="H8" s="84">
        <f>($B$8-'表2-财务收支表'!$B$27)/12+'表2-财务收支表'!H27</f>
        <v>522.78528539101887</v>
      </c>
      <c r="I8" s="84">
        <f>($B$8-'表2-财务收支表'!$B$27)/12+'表2-财务收支表'!I27</f>
        <v>623.25435851841826</v>
      </c>
      <c r="J8" s="84">
        <f>($B$8-'表2-财务收支表'!$B$27)/12+'表2-财务收支表'!J27</f>
        <v>685.44228104852027</v>
      </c>
      <c r="K8" s="84">
        <f>($B$8-'表2-财务收支表'!$B$27)/12+'表2-财务收支表'!K27</f>
        <v>558.73960226498491</v>
      </c>
      <c r="L8" s="84">
        <f>($B$8-'表2-财务收支表'!$B$27)/12+'表2-财务收支表'!L27</f>
        <v>599.84978801718387</v>
      </c>
      <c r="M8" s="84">
        <f>($B$8-'表2-财务收支表'!$B$27)/12+'表2-财务收支表'!M27</f>
        <v>536.83506222749418</v>
      </c>
      <c r="N8" s="84">
        <f>($B$8-'表2-财务收支表'!$B$27)/12+'表2-财务收支表'!N27</f>
        <v>536.95645197246483</v>
      </c>
      <c r="O8" s="80">
        <f>SUM(C8:N8)</f>
        <v>6695.8002190474663</v>
      </c>
      <c r="P8" s="92">
        <f t="shared" si="4"/>
        <v>150.91605631810307</v>
      </c>
      <c r="Q8" s="92">
        <f t="shared" si="1"/>
        <v>3154.7226749984011</v>
      </c>
      <c r="R8" s="92"/>
    </row>
    <row r="9" spans="1:18" ht="18" customHeight="1">
      <c r="A9" s="83" t="s">
        <v>121</v>
      </c>
      <c r="B9" s="82">
        <v>31845.911465586905</v>
      </c>
      <c r="C9" s="84">
        <f>'表2-财务收支表'!C28</f>
        <v>2653.8259554655751</v>
      </c>
      <c r="D9" s="84">
        <f>'表2-财务收支表'!D28</f>
        <v>2653.8259554655751</v>
      </c>
      <c r="E9" s="84">
        <f>'表2-财务收支表'!E28</f>
        <v>2653.8259554655751</v>
      </c>
      <c r="F9" s="84">
        <f>'表2-财务收支表'!F28</f>
        <v>2653.8259554655751</v>
      </c>
      <c r="G9" s="84">
        <f>'表2-财务收支表'!G28</f>
        <v>2653.8259554655751</v>
      </c>
      <c r="H9" s="84">
        <f>'表2-财务收支表'!H28</f>
        <v>2653.8259554655751</v>
      </c>
      <c r="I9" s="84">
        <f>'表2-财务收支表'!I28</f>
        <v>2653.8259554655751</v>
      </c>
      <c r="J9" s="84">
        <f>'表2-财务收支表'!J28</f>
        <v>2653.8259554655751</v>
      </c>
      <c r="K9" s="84">
        <f>'表2-财务收支表'!K28</f>
        <v>2653.8259554655751</v>
      </c>
      <c r="L9" s="84">
        <f>'表2-财务收支表'!L28</f>
        <v>2653.8259554655751</v>
      </c>
      <c r="M9" s="84">
        <f>'表2-财务收支表'!M28</f>
        <v>2653.8259554655751</v>
      </c>
      <c r="N9" s="84">
        <f>'表2-财务收支表'!N28</f>
        <v>2653.8259554655751</v>
      </c>
      <c r="O9" s="80">
        <f>SUM(C9:N9)</f>
        <v>31845.911465586894</v>
      </c>
      <c r="P9" s="92">
        <f t="shared" si="4"/>
        <v>0</v>
      </c>
      <c r="Q9" s="92">
        <f t="shared" si="1"/>
        <v>15922.955732793449</v>
      </c>
      <c r="R9" s="92"/>
    </row>
    <row r="10" spans="1:18" ht="22.5" customHeight="1">
      <c r="A10" s="83" t="s">
        <v>137</v>
      </c>
      <c r="B10" s="79"/>
      <c r="C10" s="82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0">
        <f>SUM(C10:N10)</f>
        <v>0</v>
      </c>
      <c r="P10" s="92">
        <f t="shared" si="4"/>
        <v>0</v>
      </c>
      <c r="Q10" s="92">
        <f t="shared" si="1"/>
        <v>0</v>
      </c>
      <c r="R10" s="92"/>
    </row>
    <row r="11" spans="1:18" s="76" customFormat="1" ht="24.75" customHeight="1">
      <c r="A11" s="81" t="s">
        <v>138</v>
      </c>
      <c r="B11" s="79"/>
      <c r="C11" s="80">
        <f>'表2-财务收支表'!C34</f>
        <v>0</v>
      </c>
      <c r="D11" s="80">
        <f>'表2-财务收支表'!D34</f>
        <v>0</v>
      </c>
      <c r="E11" s="80">
        <f>'表2-财务收支表'!E34</f>
        <v>0</v>
      </c>
      <c r="F11" s="80">
        <f>'表2-财务收支表'!F34</f>
        <v>0</v>
      </c>
      <c r="G11" s="80">
        <f>'表2-财务收支表'!G34</f>
        <v>0</v>
      </c>
      <c r="H11" s="80">
        <f>'表2-财务收支表'!H34</f>
        <v>0</v>
      </c>
      <c r="I11" s="80">
        <f>'表2-财务收支表'!I34</f>
        <v>0</v>
      </c>
      <c r="J11" s="80">
        <f>'表2-财务收支表'!J34</f>
        <v>0</v>
      </c>
      <c r="K11" s="80">
        <f>'表2-财务收支表'!K34</f>
        <v>0</v>
      </c>
      <c r="L11" s="80">
        <f>'表2-财务收支表'!L34</f>
        <v>0</v>
      </c>
      <c r="M11" s="80">
        <f>'表2-财务收支表'!M34</f>
        <v>0</v>
      </c>
      <c r="N11" s="80">
        <f>'表2-财务收支表'!N34</f>
        <v>0</v>
      </c>
      <c r="O11" s="80">
        <f>SUM(C11:N11)</f>
        <v>0</v>
      </c>
      <c r="P11" s="92">
        <f t="shared" si="4"/>
        <v>0</v>
      </c>
      <c r="Q11" s="92">
        <f t="shared" si="1"/>
        <v>0</v>
      </c>
      <c r="R11" s="92"/>
    </row>
    <row r="12" spans="1:18" ht="22.5" customHeight="1">
      <c r="A12" s="83" t="s">
        <v>139</v>
      </c>
      <c r="B12" s="79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0">
        <f t="shared" ref="O12" si="5">SUM(C12:N12)</f>
        <v>0</v>
      </c>
      <c r="P12" s="94">
        <f t="shared" si="4"/>
        <v>0</v>
      </c>
      <c r="Q12" s="92">
        <f t="shared" si="1"/>
        <v>0</v>
      </c>
      <c r="R12" s="92"/>
    </row>
    <row r="13" spans="1:18" ht="23.25" customHeight="1">
      <c r="A13" s="83" t="s">
        <v>140</v>
      </c>
      <c r="B13" s="7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0">
        <f t="shared" ref="O13:O20" si="6">SUM(C13:N13)</f>
        <v>0</v>
      </c>
      <c r="P13" s="95">
        <f t="shared" si="4"/>
        <v>0</v>
      </c>
      <c r="Q13" s="92">
        <f t="shared" si="1"/>
        <v>0</v>
      </c>
      <c r="R13" s="92"/>
    </row>
    <row r="14" spans="1:18" ht="36">
      <c r="A14" s="78" t="s">
        <v>141</v>
      </c>
      <c r="B14" s="86">
        <v>27492.836711306649</v>
      </c>
      <c r="C14" s="82">
        <v>-2792.2112404898999</v>
      </c>
      <c r="D14" s="82">
        <v>6952.8194159974901</v>
      </c>
      <c r="E14" s="82">
        <v>-1753.4455683261799</v>
      </c>
      <c r="F14" s="82">
        <v>1519.3495680158001</v>
      </c>
      <c r="G14" s="82">
        <v>-2655.3093431300099</v>
      </c>
      <c r="H14" s="82">
        <v>277.07050612376901</v>
      </c>
      <c r="I14" s="82">
        <v>12489.664210462644</v>
      </c>
      <c r="J14" s="82">
        <v>16331.360100115973</v>
      </c>
      <c r="K14" s="82">
        <v>-375.87762070412282</v>
      </c>
      <c r="L14" s="82">
        <v>3849.5154786725388</v>
      </c>
      <c r="M14" s="82">
        <v>-3858.5995101090439</v>
      </c>
      <c r="N14" s="82">
        <v>-2491.499285322202</v>
      </c>
      <c r="O14" s="80">
        <f t="shared" si="6"/>
        <v>27492.836711306754</v>
      </c>
      <c r="P14" s="95">
        <f t="shared" si="4"/>
        <v>-1.0550138540565968E-10</v>
      </c>
      <c r="Q14" s="92">
        <f t="shared" si="1"/>
        <v>1548.2733381909693</v>
      </c>
      <c r="R14" s="92"/>
    </row>
    <row r="15" spans="1:18" ht="22.5" customHeight="1">
      <c r="A15" s="81" t="s">
        <v>142</v>
      </c>
      <c r="B15" s="82">
        <v>13738</v>
      </c>
      <c r="C15" s="85">
        <f>'表2-财务收支表'!C11</f>
        <v>1400</v>
      </c>
      <c r="D15" s="85">
        <f>'表2-财务收支表'!D11</f>
        <v>1000</v>
      </c>
      <c r="E15" s="85">
        <f>'表2-财务收支表'!E11</f>
        <v>1500</v>
      </c>
      <c r="F15" s="85">
        <f>'表2-财务收支表'!F11</f>
        <v>1150</v>
      </c>
      <c r="G15" s="85">
        <f>'表2-财务收支表'!G11</f>
        <v>1100</v>
      </c>
      <c r="H15" s="85">
        <f>'表2-财务收支表'!H11</f>
        <v>1150</v>
      </c>
      <c r="I15" s="85">
        <f>'表2-财务收支表'!I11</f>
        <v>900</v>
      </c>
      <c r="J15" s="85">
        <f>'表2-财务收支表'!J11</f>
        <v>800</v>
      </c>
      <c r="K15" s="85">
        <f>'表2-财务收支表'!K11</f>
        <v>1400</v>
      </c>
      <c r="L15" s="85">
        <f>'表2-财务收支表'!L11</f>
        <v>1100</v>
      </c>
      <c r="M15" s="85">
        <f>'表2-财务收支表'!M11</f>
        <v>1100</v>
      </c>
      <c r="N15" s="85">
        <f>'表2-财务收支表'!N11</f>
        <v>1138</v>
      </c>
      <c r="O15" s="80">
        <f t="shared" si="6"/>
        <v>13738</v>
      </c>
      <c r="P15" s="95">
        <f t="shared" si="4"/>
        <v>0</v>
      </c>
      <c r="Q15" s="92">
        <f t="shared" si="1"/>
        <v>7300</v>
      </c>
      <c r="R15" s="92"/>
    </row>
    <row r="16" spans="1:18" ht="19.5" customHeight="1">
      <c r="A16" s="83" t="s">
        <v>143</v>
      </c>
      <c r="B16" s="79"/>
      <c r="C16" s="82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0">
        <f t="shared" si="6"/>
        <v>0</v>
      </c>
      <c r="P16" s="95">
        <f t="shared" si="4"/>
        <v>0</v>
      </c>
      <c r="Q16" s="92">
        <f t="shared" si="1"/>
        <v>0</v>
      </c>
      <c r="R16" s="92"/>
    </row>
    <row r="17" spans="1:18" s="76" customFormat="1" ht="29.25" customHeight="1">
      <c r="A17" s="81" t="s">
        <v>144</v>
      </c>
      <c r="B17" s="79">
        <v>10</v>
      </c>
      <c r="C17" s="79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>
        <v>10</v>
      </c>
      <c r="O17" s="80">
        <f>SUM(C17:N17)</f>
        <v>10</v>
      </c>
      <c r="P17" s="95">
        <f t="shared" si="4"/>
        <v>0</v>
      </c>
      <c r="Q17" s="92">
        <f t="shared" si="1"/>
        <v>0</v>
      </c>
      <c r="R17" s="92"/>
    </row>
    <row r="18" spans="1:18" ht="23.25" customHeight="1">
      <c r="A18" s="83" t="s">
        <v>145</v>
      </c>
      <c r="B18" s="79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0">
        <f t="shared" si="6"/>
        <v>0</v>
      </c>
      <c r="P18" s="95">
        <f t="shared" si="4"/>
        <v>0</v>
      </c>
      <c r="Q18" s="92">
        <f t="shared" si="1"/>
        <v>0</v>
      </c>
      <c r="R18" s="92"/>
    </row>
    <row r="19" spans="1:18" ht="24">
      <c r="A19" s="78" t="s">
        <v>146</v>
      </c>
      <c r="B19" s="79">
        <v>41220.836711306649</v>
      </c>
      <c r="C19" s="82">
        <f>C14+C15-C17</f>
        <v>-1392.2112404898999</v>
      </c>
      <c r="D19" s="82">
        <f>D14+D15-D17</f>
        <v>7952.8194159974901</v>
      </c>
      <c r="E19" s="82">
        <f>E14+E15-E17</f>
        <v>-253.44556832617991</v>
      </c>
      <c r="F19" s="82">
        <f>F14+F15-F17</f>
        <v>2669.3495680158003</v>
      </c>
      <c r="G19" s="82">
        <f t="shared" ref="G19" si="7">G14+G15-G17</f>
        <v>-1555.3093431300099</v>
      </c>
      <c r="H19" s="82">
        <f t="shared" ref="H19:N19" si="8">H14+H15-H17</f>
        <v>1427.0705061237691</v>
      </c>
      <c r="I19" s="82">
        <f t="shared" si="8"/>
        <v>13389.664210462644</v>
      </c>
      <c r="J19" s="82">
        <f t="shared" si="8"/>
        <v>17131.360100115973</v>
      </c>
      <c r="K19" s="82">
        <f t="shared" si="8"/>
        <v>1024.1223792958772</v>
      </c>
      <c r="L19" s="82">
        <f t="shared" si="8"/>
        <v>4949.5154786725388</v>
      </c>
      <c r="M19" s="82">
        <f t="shared" si="8"/>
        <v>-2758.5995101090439</v>
      </c>
      <c r="N19" s="82">
        <f t="shared" si="8"/>
        <v>-1363.499285322202</v>
      </c>
      <c r="O19" s="80">
        <f t="shared" si="6"/>
        <v>41220.836711306758</v>
      </c>
      <c r="P19" s="95">
        <f t="shared" si="4"/>
        <v>-1.0913936421275139E-10</v>
      </c>
      <c r="Q19" s="92">
        <f t="shared" si="1"/>
        <v>8848.2733381909711</v>
      </c>
      <c r="R19" s="92"/>
    </row>
    <row r="20" spans="1:18" ht="23.25" customHeight="1">
      <c r="A20" s="81" t="s">
        <v>147</v>
      </c>
      <c r="B20" s="82">
        <v>6183.1255066959975</v>
      </c>
      <c r="C20" s="84">
        <f>IF(SUM($C19:C19)&lt;0,0,SUM($C19:C19)*15%)</f>
        <v>0</v>
      </c>
      <c r="D20" s="84">
        <f>IF(SUM($C19:D19)&lt;0,0,SUM($C19:D19)*15%)-SUM($C20:C20)</f>
        <v>984.09122632613844</v>
      </c>
      <c r="E20" s="84">
        <f>IF(SUM($C19:E19)&lt;0,0,SUM($C19:E19)*15%)-SUM($C20:D20)</f>
        <v>-38.016835248927009</v>
      </c>
      <c r="F20" s="84">
        <f>IF(SUM($C19:F19)&lt;0,0,SUM($C19:F19)*15%)-SUM($C20:E20)</f>
        <v>400.40243520237027</v>
      </c>
      <c r="G20" s="84">
        <f>IF(SUM($C19:G19)&lt;0,0,SUM($C19:G19)*15%)-SUM($C20:F20)</f>
        <v>-233.29640146950146</v>
      </c>
      <c r="H20" s="84">
        <f>IF(SUM($C19:H19)&lt;0,0,SUM($C19:H19)*15%)-SUM($C20:G20)</f>
        <v>214.06057591856529</v>
      </c>
      <c r="I20" s="84">
        <f>IF(SUM($C19:I19)&lt;0,0,SUM($C19:I19)*15%)-SUM($C20:H20)</f>
        <v>2008.4496315693966</v>
      </c>
      <c r="J20" s="84">
        <f>IF(SUM($C19:J19)&lt;0,0,SUM($C19:J19)*15%)-SUM($C20:I20)</f>
        <v>2569.7040150173952</v>
      </c>
      <c r="K20" s="84">
        <f>IF(SUM($C19:K19)&lt;0,0,SUM($C19:K19)*15%)-SUM($C20:J20)</f>
        <v>153.61835689438158</v>
      </c>
      <c r="L20" s="84">
        <f>IF(SUM($C19:L19)&lt;0,0,SUM($C19:L19)*15%)-SUM($C20:K20)</f>
        <v>742.42732180088115</v>
      </c>
      <c r="M20" s="84">
        <f>IF(SUM($C19:M19)&lt;0,0,SUM($C19:M19)*15%)-SUM($C20:L20)</f>
        <v>-413.7899265163569</v>
      </c>
      <c r="N20" s="84">
        <f>IF(SUM($C19:N19)&lt;0,0,SUM($C19:N19)*15%)-SUM($C20:M20)</f>
        <v>-204.52489279832935</v>
      </c>
      <c r="O20" s="80">
        <f t="shared" si="6"/>
        <v>6183.1255066960139</v>
      </c>
      <c r="P20" s="95">
        <f t="shared" si="4"/>
        <v>-1.6370904631912708E-11</v>
      </c>
      <c r="Q20" s="92">
        <f t="shared" si="1"/>
        <v>1327.2410007286455</v>
      </c>
      <c r="R20" s="92"/>
    </row>
    <row r="21" spans="1:18" ht="32.25" customHeight="1">
      <c r="A21" s="78" t="s">
        <v>148</v>
      </c>
      <c r="B21" s="79">
        <v>35037.711204610649</v>
      </c>
      <c r="C21" s="84">
        <f>'表2-财务收支表'!C35</f>
        <v>-1392.2112404899001</v>
      </c>
      <c r="D21" s="84">
        <f>'表2-财务收支表'!D35</f>
        <v>6968.7281896713539</v>
      </c>
      <c r="E21" s="84">
        <f>'表2-财务收支表'!E35</f>
        <v>-215.42873307724949</v>
      </c>
      <c r="F21" s="84">
        <f>'表2-财务收支表'!F35</f>
        <v>2268.9471328134314</v>
      </c>
      <c r="G21" s="84">
        <f>'表2-财务收支表'!G35</f>
        <v>-1322.0129416605123</v>
      </c>
      <c r="H21" s="84">
        <f>'表2-财务收支表'!H35</f>
        <v>1213.0099302051967</v>
      </c>
      <c r="I21" s="84">
        <f>'表2-财务收支表'!I35</f>
        <v>11381.214578893247</v>
      </c>
      <c r="J21" s="84">
        <f>'表2-财务收支表'!J35</f>
        <v>14561.656085098584</v>
      </c>
      <c r="K21" s="84">
        <f>'表2-财务收支表'!K35</f>
        <v>870.5040224014956</v>
      </c>
      <c r="L21" s="84">
        <f>'表2-财务收支表'!L35</f>
        <v>4207.0881568716577</v>
      </c>
      <c r="M21" s="84">
        <f>'表2-财务收支表'!M35</f>
        <v>-2344.809583592687</v>
      </c>
      <c r="N21" s="84">
        <f>'表2-财务收支表'!N35</f>
        <v>-1158.9743925238727</v>
      </c>
      <c r="O21" s="80">
        <f>SUM(C21:N21)</f>
        <v>35037.711204610743</v>
      </c>
      <c r="P21" s="95">
        <f t="shared" si="4"/>
        <v>-9.4587448984384537E-11</v>
      </c>
      <c r="Q21" s="92">
        <f t="shared" si="1"/>
        <v>7521.0323374623204</v>
      </c>
      <c r="R21" s="92"/>
    </row>
    <row r="22" spans="1:18" s="76" customFormat="1">
      <c r="A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</row>
    <row r="23" spans="1:18"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1:18">
      <c r="A24" s="291" t="s">
        <v>149</v>
      </c>
      <c r="B24" s="292"/>
      <c r="D24" s="77">
        <f>B6/B4</f>
        <v>1.812160927202159E-3</v>
      </c>
    </row>
    <row r="26" spans="1:18" ht="13.5" hidden="1">
      <c r="B26" s="88"/>
      <c r="C26" s="84">
        <f>IF(SUM($C25:C25)&lt;0,0,SUM($C25:C25)*15%)</f>
        <v>0</v>
      </c>
      <c r="D26" s="84">
        <f>IF(SUM($C25:D25)&lt;0,0,SUM($C25:D25)*15%)-SUM($C26:C26)</f>
        <v>0</v>
      </c>
      <c r="E26" s="84">
        <f>IF(SUM($C25:E25)&lt;0,0,SUM($C25:E25)*15%)-SUM($C26:D26)</f>
        <v>0</v>
      </c>
    </row>
    <row r="27" spans="1:18" hidden="1">
      <c r="B27" s="88"/>
    </row>
    <row r="28" spans="1:18" hidden="1"/>
    <row r="29" spans="1:18" hidden="1"/>
    <row r="30" spans="1:18" hidden="1"/>
    <row r="31" spans="1:18" hidden="1"/>
    <row r="32" spans="1:18" hidden="1"/>
    <row r="33" spans="3:15" hidden="1"/>
    <row r="34" spans="3:15" hidden="1">
      <c r="C34" s="88">
        <f>C4-'表2-财务收支表'!C13</f>
        <v>-2792.2112404899017</v>
      </c>
      <c r="D34" s="88">
        <f>D4-'表2-财务收支表'!D13</f>
        <v>5968.7281896713539</v>
      </c>
      <c r="E34" s="88">
        <f>E4-'表2-财务收支表'!E13</f>
        <v>-1715.4287330772495</v>
      </c>
      <c r="F34" s="88">
        <f>F4-'表2-财务收支表'!F13</f>
        <v>1118.9471328134314</v>
      </c>
      <c r="G34" s="88">
        <f>G4-'表2-财务收支表'!G13</f>
        <v>-2422.0129416605123</v>
      </c>
      <c r="H34" s="88">
        <f>H4-'表2-财务收支表'!H13</f>
        <v>63.009930205196724</v>
      </c>
      <c r="I34" s="88">
        <f>I4-'表2-财务收支表'!I13</f>
        <v>10481.214578893247</v>
      </c>
      <c r="J34" s="88">
        <f>J4-'表2-财务收支表'!J13</f>
        <v>13761.656085098584</v>
      </c>
      <c r="K34" s="88">
        <f>K4-'表2-财务收支表'!K13</f>
        <v>-529.4959775985044</v>
      </c>
      <c r="L34" s="88">
        <f>L4-'表2-财务收支表'!L13</f>
        <v>3107.0881568716577</v>
      </c>
      <c r="M34" s="88">
        <f>M4-'表2-财务收支表'!M13</f>
        <v>-3444.809583592687</v>
      </c>
      <c r="N34" s="88">
        <f>N4-'表2-财务收支表'!N13</f>
        <v>-2296.9743925238727</v>
      </c>
    </row>
    <row r="35" spans="3:15" hidden="1"/>
    <row r="36" spans="3:15" hidden="1"/>
    <row r="37" spans="3:15">
      <c r="C37" s="88">
        <f>C4+C15</f>
        <v>34905.420572234099</v>
      </c>
      <c r="D37" s="77">
        <f t="shared" ref="D37" si="9">D4+D15</f>
        <v>45914.36056586662</v>
      </c>
      <c r="E37" s="77">
        <f t="shared" ref="E37:N37" si="10">E4+E15</f>
        <v>36581.997985720664</v>
      </c>
      <c r="F37" s="77">
        <f t="shared" si="10"/>
        <v>39419.790204966703</v>
      </c>
      <c r="G37" s="77">
        <f t="shared" si="10"/>
        <v>34899.652975937519</v>
      </c>
      <c r="H37" s="77">
        <f t="shared" si="10"/>
        <v>37696.047604031817</v>
      </c>
      <c r="I37" s="77">
        <f t="shared" si="10"/>
        <v>53293.676814659295</v>
      </c>
      <c r="J37" s="77">
        <f t="shared" si="10"/>
        <v>63002.975407337501</v>
      </c>
      <c r="K37" s="77">
        <f t="shared" si="10"/>
        <v>43617.351863179298</v>
      </c>
      <c r="L37" s="77">
        <f t="shared" si="10"/>
        <v>49801.924282342945</v>
      </c>
      <c r="M37" s="77">
        <f t="shared" si="10"/>
        <v>39862.208725715354</v>
      </c>
      <c r="N37" s="77">
        <f t="shared" si="10"/>
        <v>39919.356306243222</v>
      </c>
    </row>
    <row r="38" spans="3:15">
      <c r="C38" s="88">
        <f>C37-'表2-财务收支表'!C4</f>
        <v>0</v>
      </c>
      <c r="D38" s="77">
        <f>D37-'表2-财务收支表'!D4</f>
        <v>0</v>
      </c>
      <c r="E38" s="77">
        <f>E37-'表2-财务收支表'!E4</f>
        <v>0</v>
      </c>
      <c r="F38" s="77">
        <f>F37-'表2-财务收支表'!F4</f>
        <v>0</v>
      </c>
      <c r="G38" s="77">
        <f>G37-'表2-财务收支表'!G4</f>
        <v>0</v>
      </c>
      <c r="H38" s="77">
        <f>H37-'表2-财务收支表'!H4</f>
        <v>0</v>
      </c>
      <c r="I38" s="77">
        <f>I37-'表2-财务收支表'!I4</f>
        <v>0</v>
      </c>
      <c r="J38" s="77">
        <f>J37-'表2-财务收支表'!J4</f>
        <v>0</v>
      </c>
      <c r="K38" s="77">
        <f>K37-'表2-财务收支表'!K4</f>
        <v>0</v>
      </c>
      <c r="L38" s="77">
        <f>L37-'表2-财务收支表'!L4</f>
        <v>0</v>
      </c>
      <c r="M38" s="77">
        <f>M37-'表2-财务收支表'!M4</f>
        <v>0</v>
      </c>
      <c r="N38" s="77">
        <f>N37-'表2-财务收支表'!N4</f>
        <v>0</v>
      </c>
    </row>
    <row r="39" spans="3:15">
      <c r="C39" s="228">
        <f>'表2-财务收支表'!C13-'表2-财务收支表'!C34</f>
        <v>36297.631812724001</v>
      </c>
      <c r="D39" s="228">
        <f>'表2-财务收支表'!D13-'表2-财务收支表'!D34</f>
        <v>38945.632376195266</v>
      </c>
      <c r="E39" s="228">
        <f>'表2-财务收支表'!E13-'表2-财务收支表'!E34</f>
        <v>36797.426718797913</v>
      </c>
      <c r="F39" s="228">
        <f>'表2-财务收支表'!F13-'表2-财务收支表'!F34</f>
        <v>37150.843072153271</v>
      </c>
      <c r="G39" s="228">
        <f>'表2-财务收支表'!G13-'表2-财务收支表'!G34</f>
        <v>36221.665917598031</v>
      </c>
      <c r="H39" s="228">
        <f>'表2-财务收支表'!H13-'表2-财务收支表'!H34</f>
        <v>36483.03767382662</v>
      </c>
      <c r="I39" s="228">
        <f>'表2-财务收支表'!I13-'表2-财务收支表'!I34</f>
        <v>41912.462235766048</v>
      </c>
      <c r="J39" s="228">
        <f>'表2-财务收支表'!J13-'表2-财务收支表'!J34</f>
        <v>48441.319322238916</v>
      </c>
      <c r="K39" s="228">
        <f>'表2-财务收支表'!K13-'表2-财务收支表'!K34</f>
        <v>42746.847840777802</v>
      </c>
      <c r="L39" s="228">
        <f>'表2-财务收支表'!L13-'表2-财务收支表'!L34</f>
        <v>45594.836125471287</v>
      </c>
      <c r="M39" s="228">
        <f>'表2-财务收支表'!M13-'表2-财务收支表'!M34</f>
        <v>42207.018309308041</v>
      </c>
      <c r="N39" s="228">
        <f>'表2-财务收支表'!N13-'表2-财务收支表'!N34</f>
        <v>41078.330698767095</v>
      </c>
      <c r="O39" s="77">
        <f>'表2-财务收支表'!O13-'表2-财务收支表'!O34</f>
        <v>483877.05210362427</v>
      </c>
    </row>
    <row r="40" spans="3:15">
      <c r="C40" s="228">
        <f>C5+C6+C7+C8+C9+C17+C20</f>
        <v>36297.631812723994</v>
      </c>
      <c r="D40" s="228">
        <f t="shared" ref="D40:N40" si="11">D5+D6+D7+D8+D9+D17+D20</f>
        <v>38945.632376195281</v>
      </c>
      <c r="E40" s="228">
        <f t="shared" si="11"/>
        <v>36797.426718797913</v>
      </c>
      <c r="F40" s="228">
        <f t="shared" si="11"/>
        <v>37150.843072153271</v>
      </c>
      <c r="G40" s="228">
        <f t="shared" si="11"/>
        <v>36221.665917598031</v>
      </c>
      <c r="H40" s="228">
        <f t="shared" si="11"/>
        <v>36483.037673826613</v>
      </c>
      <c r="I40" s="228">
        <f t="shared" si="11"/>
        <v>41912.462235766048</v>
      </c>
      <c r="J40" s="228">
        <f t="shared" si="11"/>
        <v>48441.319322238924</v>
      </c>
      <c r="K40" s="228">
        <f t="shared" si="11"/>
        <v>42746.847840777802</v>
      </c>
      <c r="L40" s="228">
        <f t="shared" si="11"/>
        <v>45594.836125471287</v>
      </c>
      <c r="M40" s="228">
        <f t="shared" si="11"/>
        <v>42207.018309308041</v>
      </c>
      <c r="N40" s="228">
        <f t="shared" si="11"/>
        <v>41078.330698767095</v>
      </c>
    </row>
    <row r="41" spans="3:15">
      <c r="C41" s="228">
        <f>C39-C40</f>
        <v>0</v>
      </c>
      <c r="D41" s="228">
        <f t="shared" ref="D41:N41" si="12">D39-D40</f>
        <v>0</v>
      </c>
      <c r="E41" s="228">
        <f t="shared" si="12"/>
        <v>0</v>
      </c>
      <c r="F41" s="228">
        <f t="shared" si="12"/>
        <v>0</v>
      </c>
      <c r="G41" s="228">
        <f t="shared" si="12"/>
        <v>0</v>
      </c>
      <c r="H41" s="228">
        <f t="shared" si="12"/>
        <v>0</v>
      </c>
      <c r="I41" s="228">
        <f t="shared" si="12"/>
        <v>0</v>
      </c>
      <c r="J41" s="228">
        <f t="shared" si="12"/>
        <v>0</v>
      </c>
      <c r="K41" s="228">
        <f t="shared" si="12"/>
        <v>0</v>
      </c>
      <c r="L41" s="228">
        <f t="shared" si="12"/>
        <v>0</v>
      </c>
      <c r="M41" s="228">
        <f t="shared" si="12"/>
        <v>0</v>
      </c>
      <c r="N41" s="228">
        <f t="shared" si="12"/>
        <v>0</v>
      </c>
    </row>
    <row r="44" spans="3:15"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</row>
    <row r="46" spans="3:15">
      <c r="C46" s="88">
        <f>C15+C4</f>
        <v>34905.420572234099</v>
      </c>
      <c r="D46" s="77">
        <f t="shared" ref="D46" si="13">D15+D4</f>
        <v>45914.36056586662</v>
      </c>
      <c r="E46" s="77">
        <f t="shared" ref="E46:N46" si="14">E15+E4</f>
        <v>36581.997985720664</v>
      </c>
      <c r="F46" s="77">
        <f t="shared" si="14"/>
        <v>39419.790204966703</v>
      </c>
      <c r="G46" s="77">
        <f t="shared" si="14"/>
        <v>34899.652975937519</v>
      </c>
      <c r="H46" s="77">
        <f t="shared" si="14"/>
        <v>37696.047604031817</v>
      </c>
      <c r="I46" s="77">
        <f t="shared" si="14"/>
        <v>53293.676814659295</v>
      </c>
      <c r="J46" s="77">
        <f t="shared" si="14"/>
        <v>63002.975407337501</v>
      </c>
      <c r="K46" s="77">
        <f t="shared" si="14"/>
        <v>43617.351863179298</v>
      </c>
      <c r="L46" s="77">
        <f t="shared" si="14"/>
        <v>49801.924282342945</v>
      </c>
      <c r="M46" s="77">
        <f t="shared" si="14"/>
        <v>39862.208725715354</v>
      </c>
      <c r="N46" s="77">
        <f t="shared" si="14"/>
        <v>39919.356306243222</v>
      </c>
    </row>
    <row r="47" spans="3:15">
      <c r="C47" s="88">
        <f>C46-'表2-财务收支表'!C4</f>
        <v>0</v>
      </c>
      <c r="D47" s="77">
        <f>D46-'表2-财务收支表'!D4</f>
        <v>0</v>
      </c>
      <c r="E47" s="77">
        <f>E46-'表2-财务收支表'!E4</f>
        <v>0</v>
      </c>
      <c r="F47" s="77">
        <f>F46-'表2-财务收支表'!F4</f>
        <v>0</v>
      </c>
      <c r="G47" s="77">
        <f>G46-'表2-财务收支表'!G4</f>
        <v>0</v>
      </c>
      <c r="H47" s="77">
        <f>H46-'表2-财务收支表'!H4</f>
        <v>0</v>
      </c>
      <c r="I47" s="77">
        <f>I46-'表2-财务收支表'!I4</f>
        <v>0</v>
      </c>
      <c r="J47" s="77">
        <f>J46-'表2-财务收支表'!J4</f>
        <v>0</v>
      </c>
      <c r="K47" s="77">
        <f>K46-'表2-财务收支表'!K4</f>
        <v>0</v>
      </c>
      <c r="L47" s="77">
        <f>L46-'表2-财务收支表'!L4</f>
        <v>0</v>
      </c>
      <c r="M47" s="77">
        <f>M46-'表2-财务收支表'!M4</f>
        <v>0</v>
      </c>
      <c r="N47" s="77">
        <f>N46-'表2-财务收支表'!N4</f>
        <v>0</v>
      </c>
    </row>
    <row r="48" spans="3:15">
      <c r="C48" s="77">
        <f>'表2-财务收支表'!C13</f>
        <v>36297.631812724001</v>
      </c>
      <c r="D48" s="77">
        <f>'表2-财务收支表'!D13</f>
        <v>38945.632376195266</v>
      </c>
      <c r="E48" s="77">
        <f>'表2-财务收支表'!E13</f>
        <v>36797.426718797913</v>
      </c>
      <c r="F48" s="77">
        <f>'表2-财务收支表'!F13</f>
        <v>37150.843072153271</v>
      </c>
      <c r="G48" s="77">
        <f>'表2-财务收支表'!G13</f>
        <v>36221.665917598031</v>
      </c>
      <c r="H48" s="77">
        <f>'表2-财务收支表'!H13</f>
        <v>36483.03767382662</v>
      </c>
      <c r="I48" s="77">
        <f>'表2-财务收支表'!I13</f>
        <v>41912.462235766048</v>
      </c>
      <c r="J48" s="77">
        <f>'表2-财务收支表'!J13</f>
        <v>48441.319322238916</v>
      </c>
      <c r="K48" s="77">
        <f>'表2-财务收支表'!K13</f>
        <v>42746.847840777802</v>
      </c>
      <c r="L48" s="77">
        <f>'表2-财务收支表'!L13</f>
        <v>45594.836125471287</v>
      </c>
      <c r="M48" s="77">
        <f>'表2-财务收支表'!M13</f>
        <v>42207.018309308041</v>
      </c>
      <c r="N48" s="77">
        <f>'表2-财务收支表'!N13</f>
        <v>41078.330698767095</v>
      </c>
    </row>
    <row r="51" spans="3:14">
      <c r="C51" s="88">
        <f>C21+C20</f>
        <v>-1392.2112404899001</v>
      </c>
      <c r="D51" s="88">
        <f>D21+D20</f>
        <v>7952.8194159974919</v>
      </c>
      <c r="E51" s="88">
        <f>E21+E20</f>
        <v>-253.4455683261765</v>
      </c>
      <c r="F51" s="88">
        <f>F21+F20</f>
        <v>2669.3495680158017</v>
      </c>
      <c r="G51" s="88">
        <f>G21+G20</f>
        <v>-1555.3093431300138</v>
      </c>
      <c r="H51" s="77">
        <f t="shared" ref="H51:N51" si="15">H21+H20</f>
        <v>1427.070506123762</v>
      </c>
      <c r="I51" s="77">
        <f t="shared" si="15"/>
        <v>13389.664210462643</v>
      </c>
      <c r="J51" s="77">
        <f t="shared" si="15"/>
        <v>17131.36010011598</v>
      </c>
      <c r="K51" s="77">
        <f t="shared" si="15"/>
        <v>1024.1223792958772</v>
      </c>
      <c r="L51" s="77">
        <f t="shared" si="15"/>
        <v>4949.5154786725388</v>
      </c>
      <c r="M51" s="77">
        <f t="shared" si="15"/>
        <v>-2758.5995101090439</v>
      </c>
      <c r="N51" s="77">
        <f t="shared" si="15"/>
        <v>-1363.499285322202</v>
      </c>
    </row>
    <row r="52" spans="3:14">
      <c r="C52" s="88">
        <f>C51-C15</f>
        <v>-2792.2112404898999</v>
      </c>
      <c r="D52" s="88">
        <f>D51-D15</f>
        <v>6952.8194159974919</v>
      </c>
      <c r="E52" s="88">
        <f t="shared" ref="E52:N52" si="16">E51-E15</f>
        <v>-1753.4455683261765</v>
      </c>
      <c r="F52" s="88">
        <f t="shared" si="16"/>
        <v>1519.3495680158017</v>
      </c>
      <c r="G52" s="88">
        <f t="shared" si="16"/>
        <v>-2655.309343130014</v>
      </c>
      <c r="H52" s="88">
        <f t="shared" si="16"/>
        <v>277.07050612376202</v>
      </c>
      <c r="I52" s="88">
        <f t="shared" si="16"/>
        <v>12489.664210462643</v>
      </c>
      <c r="J52" s="88">
        <f t="shared" si="16"/>
        <v>16331.36010011598</v>
      </c>
      <c r="K52" s="88">
        <f t="shared" si="16"/>
        <v>-375.87762070412282</v>
      </c>
      <c r="L52" s="88">
        <f t="shared" si="16"/>
        <v>3849.5154786725388</v>
      </c>
      <c r="M52" s="88">
        <f t="shared" si="16"/>
        <v>-3858.5995101090439</v>
      </c>
      <c r="N52" s="88">
        <f t="shared" si="16"/>
        <v>-2501.499285322202</v>
      </c>
    </row>
    <row r="54" spans="3:14">
      <c r="C54" s="242">
        <f>C21+C20-C15+C17</f>
        <v>-2792.2112404898999</v>
      </c>
      <c r="D54" s="242">
        <f>D21+D20-D15+D17</f>
        <v>6952.8194159974919</v>
      </c>
      <c r="E54" s="242">
        <f t="shared" ref="E54:N54" si="17">E21+E20-E15+E17</f>
        <v>-1753.4455683261765</v>
      </c>
      <c r="F54" s="242">
        <f t="shared" si="17"/>
        <v>1519.3495680158017</v>
      </c>
      <c r="G54" s="242">
        <f t="shared" si="17"/>
        <v>-2655.309343130014</v>
      </c>
      <c r="H54" s="242">
        <f t="shared" si="17"/>
        <v>277.07050612376202</v>
      </c>
      <c r="I54" s="242">
        <f t="shared" si="17"/>
        <v>12489.664210462643</v>
      </c>
      <c r="J54" s="242">
        <f t="shared" si="17"/>
        <v>16331.36010011598</v>
      </c>
      <c r="K54" s="242">
        <f t="shared" si="17"/>
        <v>-375.87762070412282</v>
      </c>
      <c r="L54" s="242">
        <f t="shared" si="17"/>
        <v>3849.5154786725388</v>
      </c>
      <c r="M54" s="242">
        <f t="shared" si="17"/>
        <v>-3858.5995101090439</v>
      </c>
      <c r="N54" s="242">
        <f t="shared" si="17"/>
        <v>-2491.499285322202</v>
      </c>
    </row>
    <row r="56" spans="3:14"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</row>
    <row r="57" spans="3:14"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</row>
  </sheetData>
  <mergeCells count="4">
    <mergeCell ref="A1:O1"/>
    <mergeCell ref="A2:B2"/>
    <mergeCell ref="M2:O2"/>
    <mergeCell ref="A24:B24"/>
  </mergeCells>
  <phoneticPr fontId="44" type="noConversion"/>
  <printOptions horizontalCentered="1"/>
  <pageMargins left="0.74791666666666701" right="0.74791666666666701" top="0.98402777777777795" bottom="0.98402777777777795" header="0.51041666666666696" footer="0.51041666666666696"/>
  <pageSetup paperSize="9" firstPageNumber="4294963191" orientation="landscape" useFirstPageNumber="1" horizontalDpi="96" verticalDpi="96" r:id="rId1"/>
  <headerFooter alignWithMargins="0">
    <oddHeader>&amp;C&amp;F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xSplit="1" ySplit="2" topLeftCell="B6" activePane="bottomRight" state="frozen"/>
      <selection pane="topRight"/>
      <selection pane="bottomLeft"/>
      <selection pane="bottomRight" activeCell="G20" sqref="G20"/>
    </sheetView>
  </sheetViews>
  <sheetFormatPr defaultColWidth="8.875" defaultRowHeight="17.25" customHeight="1"/>
  <cols>
    <col min="1" max="1" width="8.875" style="51" customWidth="1"/>
    <col min="2" max="2" width="11.25" style="51" customWidth="1"/>
    <col min="3" max="3" width="8.875" style="51" customWidth="1"/>
    <col min="4" max="4" width="10.75" style="51" customWidth="1"/>
    <col min="5" max="5" width="13.75" style="51" customWidth="1"/>
    <col min="6" max="6" width="10.75" style="51" customWidth="1"/>
    <col min="7" max="7" width="15.75" style="51" customWidth="1"/>
    <col min="8" max="8" width="19.375" style="51" customWidth="1"/>
    <col min="9" max="9" width="15.125" style="51" customWidth="1"/>
    <col min="10" max="10" width="10.25" style="51" customWidth="1"/>
    <col min="11" max="16384" width="8.875" style="51"/>
  </cols>
  <sheetData>
    <row r="1" spans="1:13" ht="42" customHeight="1">
      <c r="A1" s="293" t="s">
        <v>150</v>
      </c>
      <c r="B1" s="294"/>
      <c r="C1" s="294"/>
      <c r="D1" s="294"/>
      <c r="E1" s="294"/>
      <c r="F1" s="294"/>
      <c r="G1" s="294"/>
      <c r="H1" s="294"/>
      <c r="I1" s="295"/>
    </row>
    <row r="2" spans="1:13" ht="48" customHeight="1">
      <c r="A2" s="52" t="s">
        <v>151</v>
      </c>
      <c r="B2" s="52" t="s">
        <v>152</v>
      </c>
      <c r="C2" s="52" t="s">
        <v>153</v>
      </c>
      <c r="D2" s="52" t="s">
        <v>154</v>
      </c>
      <c r="E2" s="52" t="s">
        <v>155</v>
      </c>
      <c r="F2" s="52" t="s">
        <v>156</v>
      </c>
      <c r="G2" s="52" t="s">
        <v>157</v>
      </c>
      <c r="H2" s="52" t="s">
        <v>158</v>
      </c>
      <c r="I2" s="52" t="s">
        <v>159</v>
      </c>
      <c r="J2" s="62">
        <v>42005</v>
      </c>
      <c r="K2" s="63"/>
      <c r="L2" s="63"/>
    </row>
    <row r="3" spans="1:13" ht="12" customHeight="1">
      <c r="A3" s="53">
        <v>1</v>
      </c>
      <c r="B3" s="54" t="s">
        <v>160</v>
      </c>
      <c r="C3" s="53">
        <v>132</v>
      </c>
      <c r="D3" s="53">
        <v>0</v>
      </c>
      <c r="E3" s="53"/>
      <c r="F3" s="53"/>
      <c r="G3" s="55">
        <v>41655</v>
      </c>
      <c r="H3" s="53">
        <v>1</v>
      </c>
      <c r="I3" s="64">
        <f>1-15/365</f>
        <v>0.95890410958904115</v>
      </c>
      <c r="J3" s="53"/>
      <c r="K3" s="65"/>
      <c r="L3" s="63"/>
      <c r="M3" s="63"/>
    </row>
    <row r="4" spans="1:13" ht="17.25" customHeight="1">
      <c r="A4" s="53">
        <v>1</v>
      </c>
      <c r="B4" s="54" t="s">
        <v>160</v>
      </c>
      <c r="C4" s="56">
        <v>132</v>
      </c>
      <c r="D4" s="53">
        <v>0</v>
      </c>
      <c r="E4" s="53" t="s">
        <v>161</v>
      </c>
      <c r="F4" s="53" t="s">
        <v>162</v>
      </c>
      <c r="G4" s="55">
        <v>41760</v>
      </c>
      <c r="H4" s="53">
        <v>1</v>
      </c>
      <c r="I4" s="66">
        <f>J4/365</f>
        <v>0.67123287671232879</v>
      </c>
      <c r="J4" s="67">
        <f>J$2-G4</f>
        <v>245</v>
      </c>
      <c r="K4" s="296" t="s">
        <v>163</v>
      </c>
      <c r="L4" s="63" t="s">
        <v>164</v>
      </c>
      <c r="M4" s="63">
        <v>164</v>
      </c>
    </row>
    <row r="5" spans="1:13" ht="17.25" customHeight="1">
      <c r="A5" s="53">
        <v>2</v>
      </c>
      <c r="B5" s="54" t="s">
        <v>160</v>
      </c>
      <c r="C5" s="56">
        <v>132</v>
      </c>
      <c r="D5" s="53">
        <v>0</v>
      </c>
      <c r="E5" s="53" t="s">
        <v>161</v>
      </c>
      <c r="F5" s="53" t="s">
        <v>162</v>
      </c>
      <c r="G5" s="55">
        <v>41791</v>
      </c>
      <c r="H5" s="53">
        <v>1</v>
      </c>
      <c r="I5" s="66">
        <f t="shared" ref="I5" si="0">J5/365</f>
        <v>0.58630136986301373</v>
      </c>
      <c r="J5" s="67">
        <f t="shared" ref="J5" si="1">J$2-G5</f>
        <v>214</v>
      </c>
      <c r="K5" s="297"/>
      <c r="L5" s="63" t="s">
        <v>165</v>
      </c>
      <c r="M5" s="63">
        <v>140</v>
      </c>
    </row>
    <row r="6" spans="1:13" ht="17.25" customHeight="1">
      <c r="A6" s="53">
        <v>3</v>
      </c>
      <c r="B6" s="54" t="s">
        <v>166</v>
      </c>
      <c r="C6" s="56">
        <v>164</v>
      </c>
      <c r="D6" s="53">
        <v>0</v>
      </c>
      <c r="E6" s="53" t="s">
        <v>161</v>
      </c>
      <c r="F6" s="53" t="s">
        <v>162</v>
      </c>
      <c r="G6" s="55">
        <v>41821</v>
      </c>
      <c r="H6" s="53">
        <v>1</v>
      </c>
      <c r="I6" s="66">
        <f>J6/365</f>
        <v>0.50410958904109593</v>
      </c>
      <c r="J6" s="67">
        <f t="shared" ref="J6:J12" si="2">J$2-G6</f>
        <v>184</v>
      </c>
      <c r="K6" s="298"/>
      <c r="L6" s="63" t="s">
        <v>167</v>
      </c>
      <c r="M6" s="63">
        <v>138</v>
      </c>
    </row>
    <row r="7" spans="1:13" s="50" customFormat="1" ht="17.25" customHeight="1">
      <c r="A7" s="53">
        <v>4</v>
      </c>
      <c r="B7" s="54" t="s">
        <v>166</v>
      </c>
      <c r="C7" s="56">
        <v>164</v>
      </c>
      <c r="D7" s="53">
        <v>0</v>
      </c>
      <c r="E7" s="53" t="s">
        <v>161</v>
      </c>
      <c r="F7" s="53" t="s">
        <v>162</v>
      </c>
      <c r="G7" s="55">
        <v>41852</v>
      </c>
      <c r="H7" s="53">
        <v>1</v>
      </c>
      <c r="I7" s="68">
        <f>J7/365</f>
        <v>0.41917808219178082</v>
      </c>
      <c r="J7" s="67">
        <f t="shared" si="2"/>
        <v>153</v>
      </c>
      <c r="K7" s="69"/>
      <c r="L7" s="63" t="s">
        <v>168</v>
      </c>
      <c r="M7" s="69">
        <v>152</v>
      </c>
    </row>
    <row r="8" spans="1:13" ht="17.25" customHeight="1">
      <c r="A8" s="53">
        <v>5</v>
      </c>
      <c r="B8" s="54" t="s">
        <v>166</v>
      </c>
      <c r="C8" s="56">
        <v>164</v>
      </c>
      <c r="D8" s="53">
        <v>0</v>
      </c>
      <c r="E8" s="53" t="s">
        <v>161</v>
      </c>
      <c r="F8" s="53" t="s">
        <v>162</v>
      </c>
      <c r="G8" s="55">
        <v>41883</v>
      </c>
      <c r="H8" s="53">
        <v>1</v>
      </c>
      <c r="I8" s="68">
        <f>J8/365</f>
        <v>0.33424657534246577</v>
      </c>
      <c r="J8" s="67">
        <f t="shared" si="2"/>
        <v>122</v>
      </c>
      <c r="K8" s="63"/>
      <c r="L8" s="63"/>
      <c r="M8" s="63"/>
    </row>
    <row r="9" spans="1:13" ht="17.25" customHeight="1">
      <c r="A9" s="53">
        <v>6</v>
      </c>
      <c r="B9" s="54" t="s">
        <v>166</v>
      </c>
      <c r="C9" s="56">
        <v>164</v>
      </c>
      <c r="D9" s="53">
        <v>1</v>
      </c>
      <c r="E9" s="53" t="s">
        <v>161</v>
      </c>
      <c r="F9" s="53" t="s">
        <v>169</v>
      </c>
      <c r="G9" s="55">
        <v>41993</v>
      </c>
      <c r="H9" s="53">
        <v>0</v>
      </c>
      <c r="I9" s="70">
        <f t="shared" ref="I9" si="3">-J9/365</f>
        <v>-3.287671232876712E-2</v>
      </c>
      <c r="J9" s="67">
        <f t="shared" si="2"/>
        <v>12</v>
      </c>
      <c r="K9" s="63">
        <v>5</v>
      </c>
      <c r="L9" s="63">
        <v>31</v>
      </c>
      <c r="M9" s="63"/>
    </row>
    <row r="10" spans="1:13" ht="17.25" customHeight="1">
      <c r="A10" s="53">
        <v>7</v>
      </c>
      <c r="B10" s="54" t="s">
        <v>166</v>
      </c>
      <c r="C10" s="56">
        <v>164</v>
      </c>
      <c r="D10" s="53">
        <v>1</v>
      </c>
      <c r="E10" s="53" t="s">
        <v>161</v>
      </c>
      <c r="F10" s="53" t="s">
        <v>169</v>
      </c>
      <c r="G10" s="55">
        <v>41993</v>
      </c>
      <c r="H10" s="53">
        <v>0</v>
      </c>
      <c r="I10" s="70">
        <f>-J10/365</f>
        <v>-3.287671232876712E-2</v>
      </c>
      <c r="J10" s="67">
        <f t="shared" si="2"/>
        <v>12</v>
      </c>
      <c r="K10" s="63">
        <v>6</v>
      </c>
      <c r="L10" s="63">
        <v>30</v>
      </c>
      <c r="M10" s="63"/>
    </row>
    <row r="11" spans="1:13" ht="17.25" customHeight="1">
      <c r="A11" s="53">
        <v>8</v>
      </c>
      <c r="B11" s="54" t="s">
        <v>166</v>
      </c>
      <c r="C11" s="56">
        <v>164</v>
      </c>
      <c r="D11" s="53">
        <v>1</v>
      </c>
      <c r="E11" s="53" t="s">
        <v>161</v>
      </c>
      <c r="F11" s="53" t="s">
        <v>169</v>
      </c>
      <c r="G11" s="55">
        <v>41993</v>
      </c>
      <c r="H11" s="53">
        <v>0</v>
      </c>
      <c r="I11" s="70">
        <f>-J11/365</f>
        <v>-3.287671232876712E-2</v>
      </c>
      <c r="J11" s="67">
        <f t="shared" si="2"/>
        <v>12</v>
      </c>
      <c r="K11" s="63">
        <v>7</v>
      </c>
      <c r="L11" s="63">
        <v>31</v>
      </c>
      <c r="M11" s="63"/>
    </row>
    <row r="12" spans="1:13" ht="17.25" customHeight="1">
      <c r="A12" s="53">
        <v>9</v>
      </c>
      <c r="B12" s="54" t="s">
        <v>166</v>
      </c>
      <c r="C12" s="56">
        <v>164</v>
      </c>
      <c r="D12" s="53">
        <v>1</v>
      </c>
      <c r="E12" s="53" t="s">
        <v>161</v>
      </c>
      <c r="F12" s="53" t="s">
        <v>169</v>
      </c>
      <c r="G12" s="55">
        <v>41993</v>
      </c>
      <c r="H12" s="53">
        <v>0</v>
      </c>
      <c r="I12" s="70">
        <f>-J12/365</f>
        <v>-3.287671232876712E-2</v>
      </c>
      <c r="J12" s="67">
        <f t="shared" si="2"/>
        <v>12</v>
      </c>
      <c r="K12" s="63">
        <v>8</v>
      </c>
      <c r="L12" s="63">
        <v>31</v>
      </c>
      <c r="M12" s="63"/>
    </row>
    <row r="13" spans="1:13" ht="17.25" customHeight="1">
      <c r="A13" s="57" t="s">
        <v>170</v>
      </c>
      <c r="B13" s="58"/>
      <c r="C13" s="59">
        <f>SUM(C4:C12)</f>
        <v>1412</v>
      </c>
      <c r="D13" s="58"/>
      <c r="E13" s="60"/>
      <c r="F13" s="60"/>
      <c r="G13" s="60"/>
      <c r="H13" s="60"/>
      <c r="I13" s="71">
        <f>SUM(I3:I12)</f>
        <v>3.3424657534246585</v>
      </c>
      <c r="J13" s="54"/>
      <c r="K13" s="63">
        <v>9</v>
      </c>
      <c r="L13" s="63">
        <v>30</v>
      </c>
      <c r="M13" s="63"/>
    </row>
    <row r="14" spans="1:13" ht="17.25" customHeight="1">
      <c r="J14" s="72"/>
      <c r="K14" s="63">
        <v>10</v>
      </c>
      <c r="L14" s="51">
        <v>31</v>
      </c>
    </row>
    <row r="15" spans="1:13" ht="17.25" customHeight="1">
      <c r="K15" s="63">
        <v>11</v>
      </c>
      <c r="L15" s="51">
        <v>30</v>
      </c>
    </row>
    <row r="16" spans="1:13" ht="17.25" customHeight="1">
      <c r="K16" s="51">
        <v>12</v>
      </c>
      <c r="L16" s="51">
        <v>31</v>
      </c>
    </row>
    <row r="17" spans="1:10" ht="17.25" customHeight="1">
      <c r="A17" s="52" t="s">
        <v>151</v>
      </c>
      <c r="B17" s="52" t="s">
        <v>152</v>
      </c>
      <c r="C17" s="52" t="s">
        <v>153</v>
      </c>
      <c r="D17" s="52" t="s">
        <v>154</v>
      </c>
      <c r="E17" s="52" t="s">
        <v>155</v>
      </c>
      <c r="F17" s="52" t="s">
        <v>156</v>
      </c>
      <c r="G17" s="52" t="s">
        <v>157</v>
      </c>
      <c r="H17" s="52" t="s">
        <v>158</v>
      </c>
      <c r="I17" s="52" t="s">
        <v>171</v>
      </c>
    </row>
    <row r="18" spans="1:10" ht="17.25" customHeight="1">
      <c r="A18" s="53">
        <v>1</v>
      </c>
      <c r="B18" s="54" t="s">
        <v>160</v>
      </c>
      <c r="C18" s="53">
        <v>132</v>
      </c>
      <c r="D18" s="53">
        <v>0</v>
      </c>
      <c r="E18" s="53"/>
      <c r="F18" s="53"/>
      <c r="G18" s="61">
        <v>41655</v>
      </c>
      <c r="H18" s="53">
        <v>1</v>
      </c>
      <c r="I18" s="64">
        <f>(J18-G18+1)/31</f>
        <v>0.5161290322580645</v>
      </c>
      <c r="J18" s="73">
        <v>41670</v>
      </c>
    </row>
    <row r="19" spans="1:10" ht="17.25" customHeight="1">
      <c r="A19" s="53">
        <v>1</v>
      </c>
      <c r="B19" s="54" t="s">
        <v>160</v>
      </c>
      <c r="C19" s="56">
        <v>132</v>
      </c>
      <c r="D19" s="53">
        <v>0</v>
      </c>
      <c r="E19" s="53" t="s">
        <v>161</v>
      </c>
      <c r="F19" s="53" t="s">
        <v>162</v>
      </c>
      <c r="G19" s="61">
        <v>41760</v>
      </c>
      <c r="H19" s="53">
        <v>1</v>
      </c>
      <c r="I19" s="66"/>
    </row>
    <row r="20" spans="1:10" ht="17.25" customHeight="1">
      <c r="A20" s="53">
        <v>2</v>
      </c>
      <c r="B20" s="54" t="s">
        <v>160</v>
      </c>
      <c r="C20" s="56">
        <v>132</v>
      </c>
      <c r="D20" s="53">
        <v>0</v>
      </c>
      <c r="E20" s="53" t="s">
        <v>161</v>
      </c>
      <c r="F20" s="53" t="s">
        <v>162</v>
      </c>
      <c r="G20" s="61">
        <v>41791</v>
      </c>
      <c r="H20" s="53">
        <v>1</v>
      </c>
      <c r="I20" s="66"/>
    </row>
    <row r="21" spans="1:10" ht="17.25" customHeight="1">
      <c r="A21" s="53">
        <v>3</v>
      </c>
      <c r="B21" s="54" t="s">
        <v>166</v>
      </c>
      <c r="C21" s="56">
        <v>164</v>
      </c>
      <c r="D21" s="53">
        <v>0</v>
      </c>
      <c r="E21" s="53" t="s">
        <v>161</v>
      </c>
      <c r="F21" s="53" t="s">
        <v>162</v>
      </c>
      <c r="G21" s="61">
        <v>41821</v>
      </c>
      <c r="H21" s="53">
        <v>1</v>
      </c>
      <c r="I21" s="66"/>
    </row>
    <row r="22" spans="1:10" ht="17.25" customHeight="1">
      <c r="A22" s="53">
        <v>4</v>
      </c>
      <c r="B22" s="54" t="s">
        <v>166</v>
      </c>
      <c r="C22" s="56">
        <v>164</v>
      </c>
      <c r="D22" s="53">
        <v>0</v>
      </c>
      <c r="E22" s="53" t="s">
        <v>161</v>
      </c>
      <c r="F22" s="53" t="s">
        <v>162</v>
      </c>
      <c r="G22" s="61">
        <v>41852</v>
      </c>
      <c r="H22" s="53">
        <v>1</v>
      </c>
      <c r="I22" s="68"/>
    </row>
    <row r="23" spans="1:10" ht="17.25" customHeight="1">
      <c r="A23" s="53">
        <v>5</v>
      </c>
      <c r="B23" s="54" t="s">
        <v>166</v>
      </c>
      <c r="C23" s="56">
        <v>164</v>
      </c>
      <c r="D23" s="53">
        <v>0</v>
      </c>
      <c r="E23" s="53" t="s">
        <v>161</v>
      </c>
      <c r="F23" s="53" t="s">
        <v>162</v>
      </c>
      <c r="G23" s="61">
        <v>41883</v>
      </c>
      <c r="H23" s="53">
        <v>1</v>
      </c>
      <c r="I23" s="68"/>
    </row>
    <row r="24" spans="1:10" ht="17.25" customHeight="1">
      <c r="A24" s="53">
        <v>6</v>
      </c>
      <c r="B24" s="54" t="s">
        <v>166</v>
      </c>
      <c r="C24" s="56">
        <v>164</v>
      </c>
      <c r="D24" s="53">
        <v>1</v>
      </c>
      <c r="E24" s="53" t="s">
        <v>161</v>
      </c>
      <c r="F24" s="53" t="s">
        <v>169</v>
      </c>
      <c r="G24" s="55">
        <v>41993</v>
      </c>
      <c r="H24" s="53">
        <v>0</v>
      </c>
      <c r="I24" s="70">
        <f>-(J$24-G24+1)/31</f>
        <v>-0.38709677419354838</v>
      </c>
      <c r="J24" s="73">
        <v>42004</v>
      </c>
    </row>
    <row r="25" spans="1:10" ht="17.25" customHeight="1">
      <c r="A25" s="53">
        <v>7</v>
      </c>
      <c r="B25" s="54" t="s">
        <v>166</v>
      </c>
      <c r="C25" s="56">
        <v>164</v>
      </c>
      <c r="D25" s="53">
        <v>1</v>
      </c>
      <c r="E25" s="53" t="s">
        <v>161</v>
      </c>
      <c r="F25" s="53" t="s">
        <v>169</v>
      </c>
      <c r="G25" s="55">
        <v>41993</v>
      </c>
      <c r="H25" s="53">
        <v>0</v>
      </c>
      <c r="I25" s="70">
        <f t="shared" ref="I25" si="4">-(J$24-G25+1)/31</f>
        <v>-0.38709677419354838</v>
      </c>
    </row>
    <row r="26" spans="1:10" ht="17.25" customHeight="1">
      <c r="A26" s="53">
        <v>8</v>
      </c>
      <c r="B26" s="54" t="s">
        <v>166</v>
      </c>
      <c r="C26" s="56">
        <v>164</v>
      </c>
      <c r="D26" s="53">
        <v>1</v>
      </c>
      <c r="E26" s="53" t="s">
        <v>161</v>
      </c>
      <c r="F26" s="53" t="s">
        <v>169</v>
      </c>
      <c r="G26" s="55">
        <v>41993</v>
      </c>
      <c r="H26" s="53">
        <v>0</v>
      </c>
      <c r="I26" s="70">
        <f>-(J$24-G26+1)/31</f>
        <v>-0.38709677419354838</v>
      </c>
    </row>
    <row r="27" spans="1:10" ht="17.25" customHeight="1">
      <c r="A27" s="53">
        <v>9</v>
      </c>
      <c r="B27" s="54" t="s">
        <v>166</v>
      </c>
      <c r="C27" s="56">
        <v>164</v>
      </c>
      <c r="D27" s="53">
        <v>1</v>
      </c>
      <c r="E27" s="53" t="s">
        <v>161</v>
      </c>
      <c r="F27" s="53" t="s">
        <v>169</v>
      </c>
      <c r="G27" s="55">
        <v>41993</v>
      </c>
      <c r="H27" s="53">
        <v>0</v>
      </c>
      <c r="I27" s="70">
        <f>-(J$24-G27+1)/31</f>
        <v>-0.38709677419354838</v>
      </c>
    </row>
    <row r="28" spans="1:10" ht="17.25" customHeight="1">
      <c r="I28" s="74">
        <f>SUM(I24:I27)</f>
        <v>-1.5483870967741935</v>
      </c>
    </row>
    <row r="30" spans="1:10" ht="17.25" customHeight="1">
      <c r="I30" s="75">
        <f>11+I28</f>
        <v>9.4516129032258061</v>
      </c>
    </row>
  </sheetData>
  <mergeCells count="2">
    <mergeCell ref="A1:I1"/>
    <mergeCell ref="K4:K6"/>
  </mergeCells>
  <phoneticPr fontId="45" type="noConversion"/>
  <pageMargins left="0.75" right="0.75" top="1" bottom="1" header="0.5" footer="0.5"/>
  <pageSetup paperSize="9" firstPageNumber="4294963191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ColWidth="9" defaultRowHeight="13.5"/>
  <cols>
    <col min="1" max="1" width="11.25" style="32" customWidth="1"/>
    <col min="2" max="2" width="27.25" style="32" customWidth="1"/>
    <col min="3" max="3" width="30.5" style="32" customWidth="1"/>
    <col min="4" max="4" width="18.625" style="32" customWidth="1"/>
    <col min="5" max="5" width="29.375" style="32" customWidth="1"/>
    <col min="6" max="6" width="25.25" style="32" customWidth="1"/>
    <col min="7" max="7" width="12.5" style="32" customWidth="1"/>
    <col min="8" max="16384" width="9" style="32"/>
  </cols>
  <sheetData>
    <row r="1" spans="1:8" ht="27.75" customHeight="1">
      <c r="A1" s="33" t="s">
        <v>172</v>
      </c>
    </row>
    <row r="2" spans="1:8" s="30" customFormat="1" ht="24">
      <c r="A2" s="34" t="s">
        <v>173</v>
      </c>
      <c r="B2" s="35" t="s">
        <v>174</v>
      </c>
      <c r="C2" s="35" t="s">
        <v>175</v>
      </c>
      <c r="D2" s="35" t="s">
        <v>176</v>
      </c>
      <c r="E2" s="35" t="s">
        <v>177</v>
      </c>
    </row>
    <row r="3" spans="1:8">
      <c r="A3" s="36"/>
      <c r="B3" s="36"/>
      <c r="C3" s="37"/>
      <c r="D3" s="37"/>
      <c r="E3" s="38"/>
    </row>
    <row r="4" spans="1:8">
      <c r="A4" s="36"/>
      <c r="B4" s="36"/>
      <c r="C4" s="37"/>
      <c r="D4" s="37"/>
      <c r="E4" s="38"/>
    </row>
    <row r="5" spans="1:8">
      <c r="A5" s="39"/>
      <c r="B5" s="39"/>
      <c r="C5" s="37"/>
      <c r="D5" s="37"/>
      <c r="E5" s="38"/>
    </row>
    <row r="6" spans="1:8">
      <c r="A6" s="39"/>
      <c r="B6" s="39"/>
      <c r="C6" s="37"/>
      <c r="D6" s="37"/>
      <c r="E6" s="38"/>
    </row>
    <row r="7" spans="1:8">
      <c r="A7" s="39"/>
      <c r="B7" s="39"/>
      <c r="C7" s="37"/>
      <c r="D7" s="37"/>
      <c r="E7" s="38"/>
    </row>
    <row r="8" spans="1:8">
      <c r="A8" s="39"/>
      <c r="B8" s="39"/>
      <c r="C8" s="37"/>
      <c r="D8" s="37"/>
      <c r="E8" s="38"/>
    </row>
    <row r="9" spans="1:8" s="31" customFormat="1" ht="15">
      <c r="A9" s="39"/>
      <c r="B9" s="39"/>
      <c r="C9" s="37"/>
      <c r="D9" s="37"/>
      <c r="E9" s="38"/>
    </row>
    <row r="10" spans="1:8" ht="15">
      <c r="A10" s="40"/>
      <c r="B10" s="40" t="s">
        <v>178</v>
      </c>
      <c r="C10" s="41"/>
      <c r="D10" s="41"/>
      <c r="E10" s="42">
        <f>SUM(E3:E9)</f>
        <v>0</v>
      </c>
    </row>
    <row r="12" spans="1:8" ht="39.75" customHeight="1">
      <c r="A12" s="43" t="s">
        <v>179</v>
      </c>
      <c r="B12" s="43"/>
      <c r="C12" s="44"/>
      <c r="D12" s="44"/>
      <c r="E12" s="44"/>
      <c r="F12" s="44"/>
      <c r="G12" s="44"/>
      <c r="H12" s="44"/>
    </row>
    <row r="13" spans="1:8" ht="39" customHeight="1">
      <c r="A13" s="34" t="s">
        <v>173</v>
      </c>
      <c r="B13" s="35" t="s">
        <v>180</v>
      </c>
      <c r="C13" s="35" t="s">
        <v>181</v>
      </c>
      <c r="D13" s="35" t="s">
        <v>182</v>
      </c>
      <c r="E13" s="35" t="s">
        <v>183</v>
      </c>
      <c r="F13" s="35" t="s">
        <v>184</v>
      </c>
    </row>
    <row r="14" spans="1:8" ht="14.25">
      <c r="A14" s="45">
        <v>1</v>
      </c>
      <c r="B14" s="45"/>
      <c r="C14" s="45"/>
      <c r="D14" s="46"/>
      <c r="E14" s="46"/>
      <c r="F14" s="46"/>
    </row>
    <row r="15" spans="1:8" ht="14.25">
      <c r="A15" s="45">
        <v>2</v>
      </c>
      <c r="B15" s="45"/>
      <c r="C15" s="45"/>
      <c r="D15" s="46"/>
      <c r="E15" s="46"/>
      <c r="F15" s="46"/>
    </row>
    <row r="16" spans="1:8" ht="14.25">
      <c r="A16" s="45">
        <v>3</v>
      </c>
      <c r="B16" s="45"/>
      <c r="C16" s="45"/>
      <c r="D16" s="46"/>
      <c r="E16" s="46"/>
      <c r="F16" s="46"/>
    </row>
    <row r="17" spans="1:6" ht="14.25">
      <c r="A17" s="45">
        <v>4</v>
      </c>
      <c r="B17" s="47"/>
      <c r="C17" s="47"/>
      <c r="D17" s="47"/>
      <c r="E17" s="47"/>
      <c r="F17" s="47"/>
    </row>
    <row r="18" spans="1:6" ht="14.25">
      <c r="A18" s="45">
        <v>5</v>
      </c>
      <c r="B18" s="47"/>
      <c r="C18" s="47"/>
      <c r="D18" s="47"/>
      <c r="E18" s="47"/>
      <c r="F18" s="47"/>
    </row>
    <row r="19" spans="1:6" s="31" customFormat="1" ht="15">
      <c r="A19" s="48" t="s">
        <v>185</v>
      </c>
      <c r="B19" s="49"/>
      <c r="C19" s="49"/>
      <c r="D19" s="49"/>
      <c r="E19" s="49"/>
      <c r="F19" s="42">
        <f>SUM(F14:F18)</f>
        <v>0</v>
      </c>
    </row>
  </sheetData>
  <phoneticPr fontId="45" type="noConversion"/>
  <pageMargins left="0.75" right="0.75" top="1" bottom="1" header="0.5" footer="0.5"/>
  <pageSetup paperSize="9" firstPageNumber="4294963191" orientation="portrait" useFirstPageNumber="1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4"/>
  <sheetViews>
    <sheetView workbookViewId="0">
      <pane xSplit="2" ySplit="2" topLeftCell="C3" activePane="bottomRight" state="frozen"/>
      <selection pane="topRight"/>
      <selection pane="bottomLeft"/>
      <selection pane="bottomRight" activeCell="K28" sqref="K28"/>
    </sheetView>
  </sheetViews>
  <sheetFormatPr defaultColWidth="9" defaultRowHeight="15"/>
  <cols>
    <col min="2" max="2" width="17.875" style="16" customWidth="1"/>
    <col min="3" max="3" width="13" style="17" customWidth="1"/>
    <col min="4" max="4" width="11.5" style="18" customWidth="1"/>
    <col min="5" max="5" width="12.625" style="18" customWidth="1"/>
    <col min="6" max="6" width="10.875" style="18" customWidth="1"/>
    <col min="7" max="7" width="11.625" style="18" customWidth="1"/>
    <col min="8" max="10" width="9" style="18" customWidth="1"/>
    <col min="11" max="11" width="11.625" style="18" customWidth="1"/>
    <col min="12" max="12" width="13.625" style="18" customWidth="1"/>
    <col min="13" max="13" width="9" style="18" customWidth="1"/>
    <col min="14" max="241" width="9" style="17" customWidth="1"/>
  </cols>
  <sheetData>
    <row r="1" spans="1:13" s="4" customFormat="1" ht="48">
      <c r="A1" s="299" t="s">
        <v>173</v>
      </c>
      <c r="B1" s="301" t="s">
        <v>186</v>
      </c>
      <c r="C1" s="19" t="s">
        <v>187</v>
      </c>
      <c r="D1" s="19" t="s">
        <v>188</v>
      </c>
      <c r="E1" s="19" t="s">
        <v>189</v>
      </c>
      <c r="F1" s="19" t="s">
        <v>190</v>
      </c>
      <c r="G1" s="19" t="s">
        <v>191</v>
      </c>
      <c r="H1" s="19" t="s">
        <v>192</v>
      </c>
      <c r="I1" s="19" t="s">
        <v>193</v>
      </c>
      <c r="J1" s="19" t="s">
        <v>194</v>
      </c>
      <c r="K1" s="19" t="s">
        <v>195</v>
      </c>
      <c r="L1" s="19" t="s">
        <v>196</v>
      </c>
      <c r="M1" s="19" t="s">
        <v>197</v>
      </c>
    </row>
    <row r="2" spans="1:13" s="14" customFormat="1" ht="36">
      <c r="A2" s="300"/>
      <c r="B2" s="302"/>
      <c r="C2" s="19" t="s">
        <v>198</v>
      </c>
      <c r="D2" s="19" t="s">
        <v>199</v>
      </c>
      <c r="E2" s="19" t="s">
        <v>200</v>
      </c>
      <c r="F2" s="19" t="s">
        <v>201</v>
      </c>
      <c r="G2" s="19" t="s">
        <v>202</v>
      </c>
      <c r="H2" s="19" t="s">
        <v>40</v>
      </c>
      <c r="I2" s="19" t="s">
        <v>203</v>
      </c>
      <c r="J2" s="19" t="s">
        <v>201</v>
      </c>
      <c r="K2" s="19" t="s">
        <v>201</v>
      </c>
      <c r="L2" s="19" t="s">
        <v>201</v>
      </c>
      <c r="M2" s="19" t="s">
        <v>201</v>
      </c>
    </row>
    <row r="3" spans="1:13" s="15" customFormat="1" ht="18" customHeight="1">
      <c r="A3" s="20">
        <v>1</v>
      </c>
      <c r="B3" s="21" t="s">
        <v>204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s="15" customFormat="1" ht="12.75">
      <c r="A4" s="20">
        <v>2</v>
      </c>
      <c r="B4" s="23" t="s">
        <v>205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s="15" customFormat="1" ht="12.75">
      <c r="A5" s="20">
        <v>3</v>
      </c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s="15" customFormat="1" ht="12.75">
      <c r="A6" s="25"/>
      <c r="B6" s="2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s="15" customFormat="1" ht="12.75">
      <c r="A7" s="25"/>
      <c r="B7" s="24"/>
      <c r="C7" s="26"/>
      <c r="D7" s="26"/>
      <c r="E7" s="26"/>
      <c r="F7" s="26"/>
      <c r="G7" s="26"/>
      <c r="H7" s="26"/>
      <c r="I7" s="26"/>
      <c r="J7" s="22"/>
      <c r="K7" s="22"/>
      <c r="L7" s="22"/>
      <c r="M7" s="22"/>
    </row>
    <row r="8" spans="1:13" s="15" customFormat="1" ht="12.75">
      <c r="A8" s="25"/>
      <c r="B8" s="2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s="15" customFormat="1" ht="12.75">
      <c r="A9" s="25"/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s="15" customFormat="1" ht="12.75">
      <c r="A10" s="25"/>
      <c r="B10" s="2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s="15" customFormat="1" ht="12.75">
      <c r="A11" s="25"/>
      <c r="B11" s="2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s="15" customFormat="1" ht="12.75">
      <c r="A12" s="25"/>
      <c r="B12" s="2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s="15" customFormat="1" ht="12.75">
      <c r="A13" s="25"/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s="15" customFormat="1" ht="12.75">
      <c r="A14" s="25"/>
      <c r="B14" s="2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s="15" customFormat="1" ht="12.75">
      <c r="A15" s="25"/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s="15" customFormat="1" ht="12.75">
      <c r="A16" s="25"/>
      <c r="B16" s="24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s="15" customFormat="1" ht="12.75">
      <c r="A17" s="25"/>
      <c r="B17" s="24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s="15" customFormat="1" ht="12.75">
      <c r="A18" s="25"/>
      <c r="B18" s="24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s="15" customFormat="1" ht="12.75">
      <c r="A19" s="25"/>
      <c r="B19" s="24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s="15" customFormat="1" ht="12.75">
      <c r="A20" s="25"/>
      <c r="B20" s="2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s="15" customFormat="1" ht="12.75">
      <c r="A21" s="25"/>
      <c r="B21" s="24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s="15" customFormat="1" ht="12.75">
      <c r="A22" s="25"/>
      <c r="B22" s="24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s="15" customFormat="1" ht="12.75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3">
      <c r="D24" s="29"/>
    </row>
  </sheetData>
  <mergeCells count="2">
    <mergeCell ref="A1:A2"/>
    <mergeCell ref="B1:B2"/>
  </mergeCells>
  <phoneticPr fontId="45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opLeftCell="A4" workbookViewId="0">
      <selection activeCell="L16" sqref="L16"/>
    </sheetView>
  </sheetViews>
  <sheetFormatPr defaultColWidth="9" defaultRowHeight="14.25"/>
  <cols>
    <col min="1" max="1" width="25.25" customWidth="1"/>
    <col min="2" max="2" width="14.375" customWidth="1"/>
    <col min="3" max="3" width="9.375" bestFit="1" customWidth="1"/>
    <col min="4" max="9" width="9.25" bestFit="1" customWidth="1"/>
    <col min="10" max="10" width="11.5" bestFit="1" customWidth="1"/>
    <col min="11" max="15" width="11.625" bestFit="1" customWidth="1"/>
    <col min="17" max="17" width="9.5" bestFit="1" customWidth="1"/>
    <col min="18" max="18" width="8.625" customWidth="1"/>
  </cols>
  <sheetData>
    <row r="1" spans="1:18" ht="29.25" customHeight="1">
      <c r="A1" s="1" t="s">
        <v>98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</row>
    <row r="2" spans="1:18" ht="16.5">
      <c r="A2" s="4" t="s">
        <v>206</v>
      </c>
      <c r="B2" s="5">
        <f>'表2-财务收支表'!B24</f>
        <v>25448.382032443638</v>
      </c>
      <c r="C2" s="5">
        <f>SUM(C3:C6)</f>
        <v>1905.1654255501267</v>
      </c>
      <c r="D2" s="5">
        <f t="shared" ref="D2" si="0">SUM(D3:D6)</f>
        <v>1881.4831711509596</v>
      </c>
      <c r="E2" s="5">
        <f t="shared" ref="E2:N2" si="1">SUM(E3:E6)</f>
        <v>1872.1974695653594</v>
      </c>
      <c r="F2" s="5">
        <f t="shared" si="1"/>
        <v>1873.9409135933172</v>
      </c>
      <c r="G2" s="5">
        <f t="shared" si="1"/>
        <v>1816.1044041459081</v>
      </c>
      <c r="H2" s="5">
        <f t="shared" si="1"/>
        <v>1777.6768431556623</v>
      </c>
      <c r="I2" s="5">
        <f t="shared" si="1"/>
        <v>2103.9893129937377</v>
      </c>
      <c r="J2" s="5">
        <f t="shared" si="1"/>
        <v>2346.5811393789763</v>
      </c>
      <c r="K2" s="5">
        <f t="shared" si="1"/>
        <v>2166.4739562864024</v>
      </c>
      <c r="L2" s="5">
        <f t="shared" si="1"/>
        <v>2298.9220072127609</v>
      </c>
      <c r="M2" s="5">
        <f t="shared" si="1"/>
        <v>2174.6465258955204</v>
      </c>
      <c r="N2" s="5">
        <f t="shared" si="1"/>
        <v>2059.2896261384035</v>
      </c>
      <c r="O2" s="5">
        <f>SUM(C2:N2)</f>
        <v>24276.470795067136</v>
      </c>
      <c r="P2" s="5">
        <f>B2-O2</f>
        <v>1171.911237376502</v>
      </c>
      <c r="Q2" s="13"/>
    </row>
    <row r="3" spans="1:18" ht="16.5">
      <c r="A3" s="220" t="s">
        <v>221</v>
      </c>
      <c r="B3" s="7">
        <v>3738.4337853060701</v>
      </c>
      <c r="C3" s="7">
        <f>'表1-生产经营预算表'!E23*$B$17</f>
        <v>278.69262800929675</v>
      </c>
      <c r="D3" s="7">
        <f>'表1-生产经营预算表'!F23*$B$17</f>
        <v>275.10309895378469</v>
      </c>
      <c r="E3" s="7">
        <f>'表1-生产经营预算表'!G23*$B$17</f>
        <v>273.63096471395761</v>
      </c>
      <c r="F3" s="7">
        <f>'表1-生产经营预算表'!H23*$B$17</f>
        <v>274.05994095362917</v>
      </c>
      <c r="G3" s="7">
        <f>'表1-生产经营预算表'!I23*$B$17</f>
        <v>265.48143209928753</v>
      </c>
      <c r="H3" s="7">
        <f>'表1-生产经营预算表'!J23*$B$17</f>
        <v>259.74031714417617</v>
      </c>
      <c r="I3" s="7">
        <f>'表1-生产经营预算表'!K23*$B$17</f>
        <v>307.55533910471411</v>
      </c>
      <c r="J3" s="7">
        <f>'表1-生产经营预算表'!L23*$B$17</f>
        <v>345.23670381179573</v>
      </c>
      <c r="K3" s="7">
        <f>'表1-生产经营预算表'!M23*$B$17</f>
        <v>318.37633848706815</v>
      </c>
      <c r="L3" s="7">
        <f>'表1-生产经营预算表'!N23*$B$17</f>
        <v>337.74026030982407</v>
      </c>
      <c r="M3" s="7">
        <f>'表1-生产经营预算表'!O23*$B$17</f>
        <v>318.77067334508081</v>
      </c>
      <c r="N3" s="7">
        <f>'表1-生产经营预算表'!P23*$B$17</f>
        <v>302.03754589317663</v>
      </c>
      <c r="O3" s="7">
        <f>SUM(C3:N3)</f>
        <v>3556.4252428257919</v>
      </c>
      <c r="P3" s="5">
        <f t="shared" ref="P3" si="2">B3-O3</f>
        <v>182.00854248027827</v>
      </c>
      <c r="Q3" s="13"/>
      <c r="R3">
        <v>0.65235221572220303</v>
      </c>
    </row>
    <row r="4" spans="1:18" ht="16.5">
      <c r="A4" s="6" t="s">
        <v>207</v>
      </c>
      <c r="B4" s="7">
        <v>3027.0855186301801</v>
      </c>
      <c r="C4" s="7">
        <f>'表1-生产经营预算表'!E38*$B$18</f>
        <v>226.35493858882816</v>
      </c>
      <c r="D4" s="7">
        <f>'表1-生产经营预算表'!F38*$B$18</f>
        <v>223.45527593190187</v>
      </c>
      <c r="E4" s="7">
        <f>'表1-生产经营预算表'!G38*$B$18</f>
        <v>222.27392943596047</v>
      </c>
      <c r="F4" s="7">
        <f>'表1-生产经营预算表'!H38*$B$18</f>
        <v>222.14784376687058</v>
      </c>
      <c r="G4" s="7">
        <f>'表1-生产经营预算表'!I38*$B$18</f>
        <v>214.48557739447628</v>
      </c>
      <c r="H4" s="7">
        <f>'表1-生产经营预算表'!J38*$B$18</f>
        <v>209.34256085942363</v>
      </c>
      <c r="I4" s="7">
        <f>'表1-生产经营预算表'!K38*$B$18</f>
        <v>247.88400610668143</v>
      </c>
      <c r="J4" s="7">
        <f>'表1-生产经营预算表'!L38*$B$18</f>
        <v>279.82113030996419</v>
      </c>
      <c r="K4" s="7">
        <f>'表1-生产经营预算表'!M38*$B$18</f>
        <v>258.03506795757539</v>
      </c>
      <c r="L4" s="7">
        <f>'表1-生产经营预算表'!N38*$B$18</f>
        <v>272.86699360097509</v>
      </c>
      <c r="M4" s="7">
        <f>'表1-生产经营预算表'!O38*$B$18</f>
        <v>257.86454149819991</v>
      </c>
      <c r="N4" s="7">
        <f>'表1-生产经营预算表'!P38*$B$18</f>
        <v>244.22903150983748</v>
      </c>
      <c r="O4" s="7">
        <f t="shared" ref="O4:O10" si="3">SUM(C4:N4)</f>
        <v>2878.7608969606945</v>
      </c>
      <c r="P4" s="5">
        <f t="shared" ref="P4:P12" si="4">B4-O4</f>
        <v>148.32462166948562</v>
      </c>
      <c r="Q4" s="13"/>
    </row>
    <row r="5" spans="1:18" ht="16.5">
      <c r="A5" s="6" t="s">
        <v>208</v>
      </c>
      <c r="B5" s="7">
        <v>3762.9604648862451</v>
      </c>
      <c r="C5" s="7">
        <f>'表1-生产经营预算表'!E23*$B$19</f>
        <v>280.52104204070429</v>
      </c>
      <c r="D5" s="7">
        <f>'表1-生产经营预算表'!F23*$B$19</f>
        <v>276.90796322236525</v>
      </c>
      <c r="E5" s="7">
        <f>'表1-生产经营预算表'!G23*$B$19</f>
        <v>275.42617077622162</v>
      </c>
      <c r="F5" s="7">
        <f>'表1-生产经营预算表'!H23*$B$19</f>
        <v>275.85796139308479</v>
      </c>
      <c r="G5" s="7">
        <f>'表1-生产经营预算表'!I23*$B$19</f>
        <v>267.22317166016427</v>
      </c>
      <c r="H5" s="7">
        <f>'表1-生产经营预算表'!J23*$B$19</f>
        <v>261.4443910688471</v>
      </c>
      <c r="I5" s="7">
        <f>'表1-生产经营预算表'!K23*$B$19</f>
        <v>309.57311223875837</v>
      </c>
      <c r="J5" s="7">
        <f>'表1-生产经营预算表'!L23*$B$19</f>
        <v>347.50169244072106</v>
      </c>
      <c r="K5" s="7">
        <f>'表1-生产经营预算表'!M23*$B$19</f>
        <v>320.465104769535</v>
      </c>
      <c r="L5" s="7">
        <f>'表1-生产经营预算表'!N23*$B$19</f>
        <v>339.95606714810577</v>
      </c>
      <c r="M5" s="7">
        <f>'表1-生产经营预算表'!O23*$B$19</f>
        <v>320.86202673361009</v>
      </c>
      <c r="N5" s="7">
        <f>'表1-生产经营预算表'!P23*$B$19</f>
        <v>304.01911853421734</v>
      </c>
      <c r="O5" s="7">
        <f t="shared" si="3"/>
        <v>3579.7578220263349</v>
      </c>
      <c r="P5" s="5">
        <f t="shared" si="4"/>
        <v>183.20264285991016</v>
      </c>
      <c r="Q5" s="13"/>
    </row>
    <row r="6" spans="1:18" ht="16.5">
      <c r="A6" s="8" t="s">
        <v>209</v>
      </c>
      <c r="B6" s="9">
        <f>B2-B3-B4-B5</f>
        <v>14919.902263621141</v>
      </c>
      <c r="C6" s="7">
        <f>$B$6/'表1-生产经营预算表'!$D$33*'表1-生产经营预算表'!E33</f>
        <v>1119.5968169112975</v>
      </c>
      <c r="D6" s="7">
        <f>$B$6/'表1-生产经营预算表'!$D$33*'表1-生产经营预算表'!F33</f>
        <v>1106.0168330429078</v>
      </c>
      <c r="E6" s="7">
        <f>$B$6/'表1-生产经营预算表'!$D$33*'表1-生产经营预算表'!G33</f>
        <v>1100.8664046392198</v>
      </c>
      <c r="F6" s="7">
        <f>$B$6/'表1-生产经营预算表'!$D$33*'表1-生产经营预算表'!H33</f>
        <v>1101.8751674797327</v>
      </c>
      <c r="G6" s="7">
        <f>$B$6/'表1-生产经营预算表'!$D$33*'表1-生产经营预算表'!I33</f>
        <v>1068.9142229919801</v>
      </c>
      <c r="H6" s="7">
        <f>$B$6/'表1-生产经营预算表'!$D$33*'表1-生产经营预算表'!J33</f>
        <v>1047.1495740832154</v>
      </c>
      <c r="I6" s="7">
        <f>$B$6/'表1-生产经营预算表'!$D$33*'表1-生产经营预算表'!K33</f>
        <v>1238.9768555435837</v>
      </c>
      <c r="J6" s="7">
        <f>$B$6/'表1-生产经营预算表'!$D$33*'表1-生产经营预算表'!L33</f>
        <v>1374.0216128164955</v>
      </c>
      <c r="K6" s="7">
        <f>$B$6/'表1-生产经营预算表'!$D$33*'表1-生产经营预算表'!M33</f>
        <v>1269.597445072224</v>
      </c>
      <c r="L6" s="7">
        <f>$B$6/'表1-生产经营预算表'!$D$33*'表1-生产经营预算表'!N33</f>
        <v>1348.3586861538563</v>
      </c>
      <c r="M6" s="7">
        <f>$B$6/'表1-生产经营预算表'!$D$33*'表1-生产经营预算表'!O33</f>
        <v>1277.1492843186297</v>
      </c>
      <c r="N6" s="7">
        <f>$B$6/'表1-生产经营预算表'!$D$33*'表1-生产经营预算表'!P33</f>
        <v>1209.0039302011719</v>
      </c>
      <c r="O6" s="7">
        <f t="shared" si="3"/>
        <v>14261.526833254315</v>
      </c>
      <c r="P6" s="5">
        <f t="shared" si="4"/>
        <v>658.37543036682655</v>
      </c>
      <c r="Q6" s="13"/>
    </row>
    <row r="7" spans="1:18" ht="16.5">
      <c r="A7" s="10" t="s">
        <v>210</v>
      </c>
      <c r="B7" s="5">
        <f>'表2-财务收支表'!B26</f>
        <v>27786.39305674452</v>
      </c>
      <c r="C7" s="11">
        <f>C8+C9+C10</f>
        <v>1829.3053418139148</v>
      </c>
      <c r="D7" s="11">
        <f>D8+D9+D10</f>
        <v>2280.6014693632342</v>
      </c>
      <c r="E7" s="11">
        <f t="shared" ref="E7:N7" si="5">E8+E9+E10</f>
        <v>1882.625870943521</v>
      </c>
      <c r="F7" s="11">
        <f t="shared" si="5"/>
        <v>2012.2349907059074</v>
      </c>
      <c r="G7" s="11">
        <f t="shared" si="5"/>
        <v>1815.2259863712893</v>
      </c>
      <c r="H7" s="11">
        <f t="shared" si="5"/>
        <v>1891.2821048394467</v>
      </c>
      <c r="I7" s="11">
        <f t="shared" si="5"/>
        <v>2653.5731981515864</v>
      </c>
      <c r="J7" s="11">
        <f t="shared" si="5"/>
        <v>3114.88964650961</v>
      </c>
      <c r="K7" s="11">
        <f t="shared" si="5"/>
        <v>2254.7636342581454</v>
      </c>
      <c r="L7" s="11">
        <f t="shared" si="5"/>
        <v>2551.676741828825</v>
      </c>
      <c r="M7" s="11">
        <f t="shared" si="5"/>
        <v>2117.0847257705464</v>
      </c>
      <c r="N7" s="11">
        <f t="shared" si="5"/>
        <v>2084.6680391046593</v>
      </c>
      <c r="O7" s="5">
        <f t="shared" si="3"/>
        <v>26487.931749660689</v>
      </c>
      <c r="P7" s="5">
        <f t="shared" si="4"/>
        <v>1298.4613070838313</v>
      </c>
      <c r="Q7" s="13"/>
    </row>
    <row r="8" spans="1:18" ht="16.5">
      <c r="A8" s="8" t="s">
        <v>211</v>
      </c>
      <c r="B8" s="7">
        <v>7276.7820000000002</v>
      </c>
      <c r="C8" s="7">
        <f>$B$8/'表1-生产经营预算表'!$D$23*'表1-生产经营预算表'!E23</f>
        <v>542.46928406268785</v>
      </c>
      <c r="D8" s="7">
        <f>$B$8/'表1-生产经营预算表'!$D$23*'表1-生产经营预算表'!F23</f>
        <v>535.48234195813779</v>
      </c>
      <c r="E8" s="7">
        <f>$B$8/'表1-生产经营预算表'!$D$23*'表1-生产经营预算表'!G23</f>
        <v>532.61686391220792</v>
      </c>
      <c r="F8" s="7">
        <f>$B$8/'表1-生产经营预算表'!$D$23*'表1-生产经营预算表'!H23</f>
        <v>533.45185705600477</v>
      </c>
      <c r="G8" s="7">
        <f>$B$8/'表1-生产经营预算表'!$D$23*'表1-生产经营预算表'!I23</f>
        <v>516.75397168393511</v>
      </c>
      <c r="H8" s="7">
        <f>$B$8/'表1-生产经营预算表'!$D$23*'表1-生产经营预算表'!J23</f>
        <v>505.5790133017673</v>
      </c>
      <c r="I8" s="7">
        <f>$B$8/'表1-生产经营预算表'!$D$23*'表1-生产经营预算表'!K23</f>
        <v>598.64993848429287</v>
      </c>
      <c r="J8" s="7">
        <f>$B$8/'表1-生产经营预算表'!$D$23*'表1-生产经营预算表'!L23</f>
        <v>671.99591495007053</v>
      </c>
      <c r="K8" s="7">
        <f>$B$8/'表1-生产经营预算表'!$D$23*'表1-生产经营预算表'!M23</f>
        <v>619.7127840633749</v>
      </c>
      <c r="L8" s="7">
        <f>$B$8/'表1-生产经营预算表'!$D$23*'表1-生产经营预算表'!N23</f>
        <v>657.40424681525599</v>
      </c>
      <c r="M8" s="7">
        <f>$B$8/'表1-生产经营预算表'!$D$23*'表1-生产经营预算表'!O23</f>
        <v>620.48034849317378</v>
      </c>
      <c r="N8" s="7">
        <f>$B$8/'表1-生产经营预算表'!$D$23*'表1-生产经营预算表'!P23</f>
        <v>587.90967113510112</v>
      </c>
      <c r="O8" s="7">
        <f t="shared" si="3"/>
        <v>6922.5062359160092</v>
      </c>
      <c r="P8" s="5">
        <f t="shared" si="4"/>
        <v>354.27576408399091</v>
      </c>
      <c r="Q8" s="13"/>
    </row>
    <row r="9" spans="1:18" ht="16.5">
      <c r="A9" s="8" t="s">
        <v>212</v>
      </c>
      <c r="B9" s="7">
        <v>19516.526919923661</v>
      </c>
      <c r="C9" s="7">
        <f>$B$9/'表1-生产经营预算表'!$D$138*'表1-生产经营预算表'!E138</f>
        <v>1223.9346368605916</v>
      </c>
      <c r="D9" s="7">
        <f>$B$9/'表1-生产经营预算表'!$D$138*'表1-生产经营预算表'!F138</f>
        <v>1660.7991263504446</v>
      </c>
      <c r="E9" s="7">
        <f>$B$9/'表1-生产经营预算表'!$D$138*'表1-生产经营预算表'!G138</f>
        <v>1284.1477976121741</v>
      </c>
      <c r="F9" s="7">
        <f>$B$9/'表1-生产经营预算表'!$D$138*'表1-生产经营预算表'!H138</f>
        <v>1406.9373206451321</v>
      </c>
      <c r="G9" s="7">
        <f>$B$9/'表1-生产经营预算表'!$D$138*'表1-生产经营预算表'!I138</f>
        <v>1235.0182164216876</v>
      </c>
      <c r="H9" s="7">
        <f>$B$9/'表1-生产经营预算表'!$D$138*'表1-生产经营预算表'!J138</f>
        <v>1317.0933477120666</v>
      </c>
      <c r="I9" s="7">
        <f>$B$9/'表1-生产经营预算表'!$D$138*'表1-生产经营预算表'!K138</f>
        <v>1956.5619598823298</v>
      </c>
      <c r="J9" s="7">
        <f>$B$9/'表1-生产经营预算表'!$D$138*'表1-生产经营预算表'!L138</f>
        <v>2326.1169393294135</v>
      </c>
      <c r="K9" s="7">
        <f>$B$9/'表1-生产经营预算表'!$D$138*'表1-生产经营预算表'!M138</f>
        <v>1555.7940800041426</v>
      </c>
      <c r="L9" s="7">
        <f>$B$9/'表1-生产经营预算表'!$D$138*'表1-生产经营预算表'!N138</f>
        <v>1802.8419090024756</v>
      </c>
      <c r="M9" s="7">
        <f>$B$9/'表1-生产经营预算表'!$D$138*'表1-生产经营预算表'!O138</f>
        <v>1423.8341220749232</v>
      </c>
      <c r="N9" s="7">
        <f>$B$9/'表1-生产经营预算表'!$D$138*'表1-生产经营预算表'!P138</f>
        <v>1423.9521660456155</v>
      </c>
      <c r="O9" s="7">
        <f t="shared" si="3"/>
        <v>18617.031621940998</v>
      </c>
      <c r="P9" s="5">
        <f t="shared" si="4"/>
        <v>899.49529798266303</v>
      </c>
      <c r="Q9" s="13"/>
    </row>
    <row r="10" spans="1:18" ht="16.5">
      <c r="A10" s="8" t="s">
        <v>213</v>
      </c>
      <c r="B10" s="9">
        <f>B7-B8-B9</f>
        <v>993.08413682086029</v>
      </c>
      <c r="C10" s="9">
        <f>$B$10/'表2-财务收支表'!$B$5*'表2-财务收支表'!C5</f>
        <v>62.901420890635329</v>
      </c>
      <c r="D10" s="9">
        <f>$B$10/'表2-财务收支表'!$B$5*'表2-财务收支表'!D5</f>
        <v>84.320001054651769</v>
      </c>
      <c r="E10" s="9">
        <f>$B$10/'表2-财务收支表'!$B$5*'表2-财务收支表'!E5</f>
        <v>65.861209419138945</v>
      </c>
      <c r="F10" s="9">
        <f>$B$10/'表2-财务收支表'!$B$5*'表2-财务收支表'!F5</f>
        <v>71.845813004770562</v>
      </c>
      <c r="G10" s="9">
        <f>$B$10/'表2-财务收支表'!$B$5*'表2-财务收支表'!G5</f>
        <v>63.453798265666677</v>
      </c>
      <c r="H10" s="9">
        <f>$B$10/'表2-财务收支表'!$B$5*'表2-财务收支表'!H5</f>
        <v>68.609743825612838</v>
      </c>
      <c r="I10" s="9">
        <f>$B$10/'表2-财务收支表'!$B$5*'表2-财务收支表'!I5</f>
        <v>98.361299784963634</v>
      </c>
      <c r="J10" s="9">
        <f>$B$10/'表2-财务收支表'!$B$5*'表2-财务收支表'!J5</f>
        <v>116.77679223012611</v>
      </c>
      <c r="K10" s="9">
        <f>$B$10/'表2-财务收支表'!$B$5*'表2-财务收支表'!K5</f>
        <v>79.256770190627719</v>
      </c>
      <c r="L10" s="9">
        <f>$B$10/'表2-财务收支表'!$B$5*'表2-财务收支表'!L5</f>
        <v>91.430586011093354</v>
      </c>
      <c r="M10" s="9">
        <f>$B$10/'表2-财务收支表'!$B$5*'表2-财务收支表'!M5</f>
        <v>72.770255202449547</v>
      </c>
      <c r="N10" s="9">
        <f>$B$10/'表2-财务收支表'!$B$5*'表2-财务收支表'!N5</f>
        <v>72.806201923942695</v>
      </c>
      <c r="O10" s="7">
        <f t="shared" si="3"/>
        <v>948.39389180367925</v>
      </c>
      <c r="P10" s="5">
        <f t="shared" si="4"/>
        <v>44.690245017181041</v>
      </c>
      <c r="Q10" s="13"/>
    </row>
    <row r="11" spans="1:18" ht="16.5">
      <c r="A11" s="10" t="s">
        <v>214</v>
      </c>
      <c r="B11" s="5">
        <f>'表2-财务收支表'!B28</f>
        <v>31845.911465586905</v>
      </c>
      <c r="C11" s="11">
        <f>C12+C13+C14+C15+C16</f>
        <v>2653.8259554655751</v>
      </c>
      <c r="D11" s="11">
        <f t="shared" ref="D11" si="6">D12+D13+D14+D15+D16</f>
        <v>2653.8259554655751</v>
      </c>
      <c r="E11" s="11">
        <f t="shared" ref="E11:N11" si="7">E12+E13+E14+E15+E16</f>
        <v>2653.8259554655751</v>
      </c>
      <c r="F11" s="11">
        <f t="shared" si="7"/>
        <v>2653.8259554655751</v>
      </c>
      <c r="G11" s="11">
        <f t="shared" si="7"/>
        <v>2653.8259554655751</v>
      </c>
      <c r="H11" s="11">
        <f t="shared" si="7"/>
        <v>2653.8259554655751</v>
      </c>
      <c r="I11" s="11">
        <f t="shared" si="7"/>
        <v>2653.8259554655751</v>
      </c>
      <c r="J11" s="11">
        <f t="shared" si="7"/>
        <v>2653.8259554655751</v>
      </c>
      <c r="K11" s="11">
        <f t="shared" si="7"/>
        <v>2653.8259554655751</v>
      </c>
      <c r="L11" s="11">
        <f t="shared" si="7"/>
        <v>2653.8259554655751</v>
      </c>
      <c r="M11" s="11">
        <f t="shared" si="7"/>
        <v>2653.8259554655751</v>
      </c>
      <c r="N11" s="11">
        <f t="shared" si="7"/>
        <v>2653.8259554655751</v>
      </c>
      <c r="O11" s="5">
        <f t="shared" ref="O11" si="8">SUM(C11:N11)</f>
        <v>31845.911465586894</v>
      </c>
      <c r="P11" s="5">
        <f t="shared" si="4"/>
        <v>0</v>
      </c>
      <c r="Q11" s="13">
        <f>SUM(C11:H11)</f>
        <v>15922.955732793449</v>
      </c>
    </row>
    <row r="12" spans="1:18" ht="16.5">
      <c r="A12" s="8" t="s">
        <v>215</v>
      </c>
      <c r="B12" s="7">
        <f>B11-B16-B15-B14-B13</f>
        <v>29328.016724451896</v>
      </c>
      <c r="C12" s="7">
        <f>$B$12/12</f>
        <v>2444.0013937043245</v>
      </c>
      <c r="D12" s="7">
        <f t="shared" ref="D12" si="9">$B$12/12</f>
        <v>2444.0013937043245</v>
      </c>
      <c r="E12" s="7">
        <f t="shared" ref="E12:N12" si="10">$B$12/12</f>
        <v>2444.0013937043245</v>
      </c>
      <c r="F12" s="7">
        <f t="shared" si="10"/>
        <v>2444.0013937043245</v>
      </c>
      <c r="G12" s="7">
        <f t="shared" si="10"/>
        <v>2444.0013937043245</v>
      </c>
      <c r="H12" s="7">
        <f t="shared" si="10"/>
        <v>2444.0013937043245</v>
      </c>
      <c r="I12" s="7">
        <f t="shared" si="10"/>
        <v>2444.0013937043245</v>
      </c>
      <c r="J12" s="7">
        <f t="shared" si="10"/>
        <v>2444.0013937043245</v>
      </c>
      <c r="K12" s="7">
        <f t="shared" si="10"/>
        <v>2444.0013937043245</v>
      </c>
      <c r="L12" s="7">
        <f t="shared" si="10"/>
        <v>2444.0013937043245</v>
      </c>
      <c r="M12" s="7">
        <f t="shared" si="10"/>
        <v>2444.0013937043245</v>
      </c>
      <c r="N12" s="7">
        <f t="shared" si="10"/>
        <v>2444.0013937043245</v>
      </c>
      <c r="O12" s="7">
        <f>SUM(C12:N12)</f>
        <v>29328.0167244519</v>
      </c>
      <c r="P12" s="5">
        <f t="shared" si="4"/>
        <v>0</v>
      </c>
      <c r="Q12" s="13">
        <f t="shared" ref="Q12:Q16" si="11">SUM(C12:H12)</f>
        <v>14664.008362225946</v>
      </c>
    </row>
    <row r="13" spans="1:18" ht="16.5">
      <c r="A13" s="8" t="s">
        <v>216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5"/>
      <c r="Q13" s="13">
        <f t="shared" si="11"/>
        <v>0</v>
      </c>
    </row>
    <row r="14" spans="1:18" ht="16.5">
      <c r="A14" s="8" t="s">
        <v>217</v>
      </c>
      <c r="B14" s="7">
        <v>1200</v>
      </c>
      <c r="C14" s="7">
        <f>$B$14/12</f>
        <v>100</v>
      </c>
      <c r="D14" s="7">
        <f t="shared" ref="D14" si="12">$B$14/12</f>
        <v>100</v>
      </c>
      <c r="E14" s="7">
        <f t="shared" ref="E14:N14" si="13">$B$14/12</f>
        <v>100</v>
      </c>
      <c r="F14" s="7">
        <f t="shared" si="13"/>
        <v>100</v>
      </c>
      <c r="G14" s="7">
        <f t="shared" si="13"/>
        <v>100</v>
      </c>
      <c r="H14" s="7">
        <f t="shared" si="13"/>
        <v>100</v>
      </c>
      <c r="I14" s="7">
        <f t="shared" si="13"/>
        <v>100</v>
      </c>
      <c r="J14" s="7">
        <f t="shared" si="13"/>
        <v>100</v>
      </c>
      <c r="K14" s="7">
        <f t="shared" si="13"/>
        <v>100</v>
      </c>
      <c r="L14" s="7">
        <f t="shared" si="13"/>
        <v>100</v>
      </c>
      <c r="M14" s="7">
        <f t="shared" si="13"/>
        <v>100</v>
      </c>
      <c r="N14" s="7">
        <f t="shared" si="13"/>
        <v>100</v>
      </c>
      <c r="O14" s="7">
        <f t="shared" ref="O14" si="14">SUM(C14:N14)</f>
        <v>1200</v>
      </c>
      <c r="P14" s="5">
        <f t="shared" ref="P14" si="15">B14-O14</f>
        <v>0</v>
      </c>
      <c r="Q14" s="13">
        <f>SUM(C14:H14)</f>
        <v>600</v>
      </c>
    </row>
    <row r="15" spans="1:18" ht="16.5">
      <c r="A15" s="8" t="s">
        <v>218</v>
      </c>
      <c r="B15" s="7">
        <v>1317.89474113501</v>
      </c>
      <c r="C15" s="7">
        <f>$B$15/12</f>
        <v>109.82456176125083</v>
      </c>
      <c r="D15" s="7">
        <f t="shared" ref="D15" si="16">$B$15/12</f>
        <v>109.82456176125083</v>
      </c>
      <c r="E15" s="7">
        <f t="shared" ref="E15:N15" si="17">$B$15/12</f>
        <v>109.82456176125083</v>
      </c>
      <c r="F15" s="7">
        <f t="shared" si="17"/>
        <v>109.82456176125083</v>
      </c>
      <c r="G15" s="7">
        <f t="shared" si="17"/>
        <v>109.82456176125083</v>
      </c>
      <c r="H15" s="7">
        <f t="shared" si="17"/>
        <v>109.82456176125083</v>
      </c>
      <c r="I15" s="7">
        <f t="shared" si="17"/>
        <v>109.82456176125083</v>
      </c>
      <c r="J15" s="7">
        <f t="shared" si="17"/>
        <v>109.82456176125083</v>
      </c>
      <c r="K15" s="7">
        <f t="shared" si="17"/>
        <v>109.82456176125083</v>
      </c>
      <c r="L15" s="7">
        <f t="shared" si="17"/>
        <v>109.82456176125083</v>
      </c>
      <c r="M15" s="7">
        <f t="shared" si="17"/>
        <v>109.82456176125083</v>
      </c>
      <c r="N15" s="7">
        <f t="shared" si="17"/>
        <v>109.82456176125083</v>
      </c>
      <c r="O15" s="7">
        <f>SUM(C15:N15)</f>
        <v>1317.89474113501</v>
      </c>
      <c r="P15" s="5">
        <f>B15-O15</f>
        <v>0</v>
      </c>
      <c r="Q15" s="13">
        <f t="shared" si="11"/>
        <v>658.947370567505</v>
      </c>
    </row>
    <row r="16" spans="1:18" ht="16.5">
      <c r="A16" s="8" t="s">
        <v>219</v>
      </c>
      <c r="B16" s="12"/>
      <c r="C16" s="7">
        <f>$B$16/12</f>
        <v>0</v>
      </c>
      <c r="D16" s="7">
        <f t="shared" ref="D16" si="18">$B$16/12</f>
        <v>0</v>
      </c>
      <c r="E16" s="7">
        <f t="shared" ref="E16:N16" si="19">$B$16/12</f>
        <v>0</v>
      </c>
      <c r="F16" s="7">
        <f t="shared" si="19"/>
        <v>0</v>
      </c>
      <c r="G16" s="7">
        <f t="shared" si="19"/>
        <v>0</v>
      </c>
      <c r="H16" s="7">
        <f t="shared" si="19"/>
        <v>0</v>
      </c>
      <c r="I16" s="7">
        <f t="shared" si="19"/>
        <v>0</v>
      </c>
      <c r="J16" s="7">
        <f t="shared" si="19"/>
        <v>0</v>
      </c>
      <c r="K16" s="7">
        <f t="shared" si="19"/>
        <v>0</v>
      </c>
      <c r="L16" s="7">
        <f t="shared" si="19"/>
        <v>0</v>
      </c>
      <c r="M16" s="7">
        <f t="shared" si="19"/>
        <v>0</v>
      </c>
      <c r="N16" s="7">
        <f t="shared" si="19"/>
        <v>0</v>
      </c>
      <c r="O16" s="7">
        <f>SUM(C16:N16)</f>
        <v>0</v>
      </c>
      <c r="P16" s="5">
        <f>B16-O16</f>
        <v>0</v>
      </c>
      <c r="Q16" s="13">
        <f t="shared" si="11"/>
        <v>0</v>
      </c>
    </row>
    <row r="17" spans="1:16" ht="16.5">
      <c r="A17" s="221" t="s">
        <v>223</v>
      </c>
      <c r="B17" s="9">
        <f>'表1-生产经营预算表'!D207</f>
        <v>3.5765354838796299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5"/>
    </row>
    <row r="18" spans="1:16" ht="16.5">
      <c r="A18" s="220" t="s">
        <v>222</v>
      </c>
      <c r="B18" s="12">
        <f>'表1-生产经营预算表'!D206/10000</f>
        <v>0.04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5"/>
    </row>
    <row r="19" spans="1:16" ht="16.5">
      <c r="A19" s="220" t="s">
        <v>224</v>
      </c>
      <c r="B19" s="219">
        <f>'表1-生产经营预算表'!D204</f>
        <v>3.5999999999999996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5"/>
    </row>
    <row r="20" spans="1:16" ht="16.5">
      <c r="A20" s="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5">
        <f t="shared" ref="P20" si="20">B20-O20</f>
        <v>0</v>
      </c>
    </row>
    <row r="21" spans="1:16" ht="16.5">
      <c r="A21" s="221" t="s">
        <v>226</v>
      </c>
      <c r="B21" s="223">
        <f>'表2-财务收支表'!B16</f>
        <v>54841.219907719998</v>
      </c>
      <c r="C21" s="223">
        <f>$B$21*'表1-生产经营预算表'!E8/SUM('表1-生产经营预算表'!$E$8:'表1-生产经营预算表'!$P$8)</f>
        <v>4063.8732129509503</v>
      </c>
      <c r="D21" s="223">
        <f>$B$21*'表1-生产经营预算表'!F8/SUM('表1-生产经营预算表'!$E$8:'表1-生产经营预算表'!$P$8)</f>
        <v>4063.8732129509503</v>
      </c>
      <c r="E21" s="223">
        <f>$B$21*'表1-生产经营预算表'!G8/SUM('表1-生产经营预算表'!$E$8:'表1-生产经营预算表'!$P$8)</f>
        <v>4063.8732129509503</v>
      </c>
      <c r="F21" s="223">
        <f>$B$21*'表1-生产经营预算表'!H8/SUM('表1-生产经营预算表'!$E$8:'表1-生产经营预算表'!$P$8)</f>
        <v>4136.4423774679317</v>
      </c>
      <c r="G21" s="223">
        <f>$B$21*'表1-生产经营预算表'!I8/SUM('表1-生产经营预算表'!$E$8:'表1-生产经营预算表'!$P$8)</f>
        <v>4260.5122393840611</v>
      </c>
      <c r="H21" s="223">
        <f>$B$21*'表1-生产经营预算表'!J8/SUM('表1-生产经营预算表'!$E$8:'表1-生产经营预算表'!$P$8)</f>
        <v>4354.1498710188753</v>
      </c>
      <c r="I21" s="223">
        <f>$B$21*'表1-生产经营预算表'!K8/SUM('表1-生产经营预算表'!$E$8:'表1-生产经营预算表'!$P$8)</f>
        <v>4354.1498710188753</v>
      </c>
      <c r="J21" s="223">
        <f>$B$21*'表1-生产经营预算表'!L8/SUM('表1-生产经营预算表'!$E$8:'表1-生产经营预算表'!$P$8)</f>
        <v>4789.5648581207633</v>
      </c>
      <c r="K21" s="223">
        <f>$B$21*'表1-生产经营预算表'!M8/SUM('表1-生产经营预算表'!$E$8:'表1-生产经营预算表'!$P$8)</f>
        <v>5079.8415161886878</v>
      </c>
      <c r="L21" s="223">
        <f>$B$21*'表1-生产经营预算表'!N8/SUM('表1-生产经营预算表'!$E$8:'表1-生产经营预算表'!$P$8)</f>
        <v>5224.9798452226505</v>
      </c>
      <c r="M21" s="223">
        <f>$B$21*'表1-生产经营预算表'!O8/SUM('表1-生产经营预算表'!$E$8:'表1-生产经营预算表'!$P$8)</f>
        <v>5224.9798452226505</v>
      </c>
      <c r="N21" s="223">
        <f>$B$21*'表1-生产经营预算表'!P8/SUM('表1-生产经营预算表'!$E$8:'表1-生产经营预算表'!$P$8)</f>
        <v>5224.9798452226505</v>
      </c>
      <c r="O21" s="223">
        <f>SUM(C21:N21)</f>
        <v>54841.219907720006</v>
      </c>
      <c r="P21" s="5">
        <f>B21-O21</f>
        <v>0</v>
      </c>
    </row>
    <row r="22" spans="1:16" ht="16.5">
      <c r="A22" s="221" t="s">
        <v>228</v>
      </c>
      <c r="B22" s="223">
        <f>'表2-财务收支表'!B25</f>
        <v>24015.512107874285</v>
      </c>
      <c r="C22" s="223">
        <f>$B$22/SUM('表1-生产经营预算表'!$E$8:$P$8)*'表1-生产经营预算表'!E8</f>
        <v>1779.610236874963</v>
      </c>
      <c r="D22" s="223">
        <f>$B$22/SUM('表1-生产经营预算表'!$E$8:$P$8)*'表1-生产经营预算表'!F8</f>
        <v>1779.610236874963</v>
      </c>
      <c r="E22" s="223">
        <f>$B$22/SUM('表1-生产经营预算表'!$E$8:$P$8)*'表1-生产经营预算表'!G8</f>
        <v>1779.610236874963</v>
      </c>
      <c r="F22" s="223">
        <f>$B$22/SUM('表1-生产经营预算表'!$E$8:$P$8)*'表1-生产经营预算表'!H8</f>
        <v>1811.388991104873</v>
      </c>
      <c r="G22" s="223">
        <f>$B$22/SUM('表1-生产经营预算表'!$E$8:$P$8)*'表1-生产经营预算表'!I8</f>
        <v>1865.7204096269772</v>
      </c>
      <c r="H22" s="223">
        <f>$B$22/SUM('表1-生产经营预算表'!$E$8:$P$8)*'表1-生产经营预算表'!J8</f>
        <v>1906.7252537946031</v>
      </c>
      <c r="I22" s="223">
        <f>$B$22/SUM('表1-生产经营预算表'!$E$8:$P$8)*'表1-生产经营预算表'!K8</f>
        <v>1906.7252537946031</v>
      </c>
      <c r="J22" s="223">
        <f>$B$22/SUM('表1-生产经营预算表'!$E$8:$P$8)*'表1-生产经营预算表'!L8</f>
        <v>2097.3977791740635</v>
      </c>
      <c r="K22" s="223">
        <f>$B$22/SUM('表1-生产经营预算表'!$E$8:$P$8)*'表1-生产经营预算表'!M8</f>
        <v>2224.5127960937039</v>
      </c>
      <c r="L22" s="223">
        <f>$B$22/SUM('表1-生产经营预算表'!$E$8:$P$8)*'表1-生产经营预算表'!N8</f>
        <v>2288.0703045535238</v>
      </c>
      <c r="M22" s="223">
        <f>$B$22/SUM('表1-生产经营预算表'!$E$8:$P$8)*'表1-生产经营预算表'!O8</f>
        <v>2288.0703045535238</v>
      </c>
      <c r="N22" s="223">
        <f>$B$22/SUM('表1-生产经营预算表'!$E$8:$P$8)*'表1-生产经营预算表'!P8</f>
        <v>2288.0703045535238</v>
      </c>
      <c r="O22" s="223">
        <f>SUM(C22:N22)</f>
        <v>24015.512107874278</v>
      </c>
      <c r="P22" s="5">
        <f>B22-O22</f>
        <v>0</v>
      </c>
    </row>
    <row r="23" spans="1:16" ht="15.75">
      <c r="A23" s="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6" ht="15.75">
      <c r="A24" s="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6" ht="15.75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6" ht="15.75">
      <c r="A26" s="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ht="15.75">
      <c r="A27" s="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6" ht="15.75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6" ht="15.7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</sheetData>
  <phoneticPr fontId="45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2" sqref="H2:H13"/>
    </sheetView>
  </sheetViews>
  <sheetFormatPr defaultRowHeight="14.25"/>
  <cols>
    <col min="1" max="1" width="28.375" customWidth="1"/>
    <col min="2" max="2" width="13.375" customWidth="1"/>
    <col min="3" max="3" width="10.5" bestFit="1" customWidth="1"/>
    <col min="4" max="4" width="9.375" bestFit="1" customWidth="1"/>
    <col min="5" max="5" width="11.375" customWidth="1"/>
    <col min="6" max="6" width="9.375" bestFit="1" customWidth="1"/>
    <col min="7" max="8" width="9.125" bestFit="1" customWidth="1"/>
    <col min="9" max="14" width="9.375" bestFit="1" customWidth="1"/>
    <col min="15" max="15" width="10.25" bestFit="1" customWidth="1"/>
  </cols>
  <sheetData>
    <row r="1" spans="1:15" ht="18.75" customHeight="1">
      <c r="A1" s="274"/>
      <c r="B1" s="275" t="s">
        <v>242</v>
      </c>
      <c r="C1" s="276" t="s">
        <v>243</v>
      </c>
      <c r="D1" s="276" t="s">
        <v>244</v>
      </c>
      <c r="E1" s="276" t="s">
        <v>245</v>
      </c>
      <c r="F1" s="276" t="s">
        <v>246</v>
      </c>
      <c r="G1" s="276" t="s">
        <v>247</v>
      </c>
      <c r="H1" s="276" t="s">
        <v>248</v>
      </c>
      <c r="I1" s="276" t="s">
        <v>249</v>
      </c>
      <c r="J1" s="276" t="s">
        <v>250</v>
      </c>
      <c r="K1" s="276" t="s">
        <v>251</v>
      </c>
      <c r="L1" s="276" t="s">
        <v>252</v>
      </c>
      <c r="M1" s="276" t="s">
        <v>253</v>
      </c>
      <c r="N1" s="276" t="s">
        <v>254</v>
      </c>
      <c r="O1" s="276" t="s">
        <v>255</v>
      </c>
    </row>
    <row r="2" spans="1:15" ht="18" customHeight="1">
      <c r="A2" s="272" t="s">
        <v>230</v>
      </c>
      <c r="B2" s="270">
        <v>127767.03420779995</v>
      </c>
      <c r="C2" s="277">
        <v>9265.9977063414608</v>
      </c>
      <c r="D2" s="277">
        <v>8940.9763149023402</v>
      </c>
      <c r="E2" s="277">
        <f>'表2-财务收支表'!E15</f>
        <v>8777.6262166540764</v>
      </c>
      <c r="F2" s="277">
        <f>'表2-财务收支表'!F15</f>
        <v>8335.0736903215166</v>
      </c>
      <c r="G2" s="277">
        <f>'表2-财务收支表'!G15</f>
        <v>8612.1194808580167</v>
      </c>
      <c r="H2" s="277">
        <f>'表2-财务收支表'!H15</f>
        <v>8386.6760137471174</v>
      </c>
      <c r="I2" s="277">
        <f>'表2-财务收支表'!I15</f>
        <v>8550.8289943298059</v>
      </c>
      <c r="J2" s="277">
        <f>'表2-财务收支表'!J15</f>
        <v>11467.752617191538</v>
      </c>
      <c r="K2" s="277">
        <f>'表2-财务收支表'!K15</f>
        <v>10549.641116667997</v>
      </c>
      <c r="L2" s="277">
        <f>'表2-财务收支表'!L15</f>
        <v>11229.443060336216</v>
      </c>
      <c r="M2" s="277">
        <f>'表2-财务收支表'!M15</f>
        <v>10601.13323081622</v>
      </c>
      <c r="N2" s="277">
        <f>'表2-财务收支表'!N15</f>
        <v>10021.941344321209</v>
      </c>
      <c r="O2" s="277">
        <f>SUM(C2:N2)</f>
        <v>114739.20978648752</v>
      </c>
    </row>
    <row r="3" spans="1:15" ht="24" customHeight="1">
      <c r="A3" s="272" t="s">
        <v>231</v>
      </c>
      <c r="B3" s="270">
        <v>69084.97798075332</v>
      </c>
      <c r="C3" s="277">
        <v>5094.2423264834597</v>
      </c>
      <c r="D3" s="277">
        <v>5147.4399933577397</v>
      </c>
      <c r="E3" s="277">
        <f>大项成本月分解!E21+E18</f>
        <v>5256.8554308603525</v>
      </c>
      <c r="F3" s="277">
        <f>大项成本月分解!F21+F18</f>
        <v>5349.4245953773334</v>
      </c>
      <c r="G3" s="277">
        <f>大项成本月分解!G21+G18</f>
        <v>5493.4944572934637</v>
      </c>
      <c r="H3" s="277">
        <f>大项成本月分解!H21+H18</f>
        <v>5567.1320889282779</v>
      </c>
      <c r="I3" s="277">
        <f>大项成本月分解!I21+I18</f>
        <v>5567.1320889282779</v>
      </c>
      <c r="J3" s="277">
        <f>大项成本月分解!J21+J18</f>
        <v>6002.547076030165</v>
      </c>
      <c r="K3" s="277">
        <f>大项成本月分解!K21+K18</f>
        <v>6292.8237340980904</v>
      </c>
      <c r="L3" s="277">
        <f>大项成本月分解!L21+L18</f>
        <v>6437.9620631320522</v>
      </c>
      <c r="M3" s="277">
        <f>大项成本月分解!M21+M18</f>
        <v>6437.9620631320522</v>
      </c>
      <c r="N3" s="277">
        <f>大项成本月分解!N21+N18</f>
        <v>6437.9620631320522</v>
      </c>
      <c r="O3" s="277">
        <f>SUM(C3:N3)</f>
        <v>69084.97798075332</v>
      </c>
    </row>
    <row r="4" spans="1:15" ht="18" customHeight="1">
      <c r="A4" s="272" t="s">
        <v>232</v>
      </c>
      <c r="B4" s="270">
        <v>74163.595206439466</v>
      </c>
      <c r="C4" s="277">
        <v>5545.6959954262929</v>
      </c>
      <c r="D4" s="277">
        <v>5474.6542603316002</v>
      </c>
      <c r="E4" s="277">
        <f>'表2-财务收支表'!E19</f>
        <v>5445.711271181035</v>
      </c>
      <c r="F4" s="277">
        <f>'表2-财务收支表'!F19</f>
        <v>5442.6221722883329</v>
      </c>
      <c r="G4" s="277">
        <f>'表2-财务收支表'!G19</f>
        <v>5254.8966461646733</v>
      </c>
      <c r="H4" s="277">
        <f>'表2-财务收支表'!H19</f>
        <v>5128.8927410558817</v>
      </c>
      <c r="I4" s="277">
        <f>'表2-财务收支表'!I19</f>
        <v>6073.1581496136987</v>
      </c>
      <c r="J4" s="277">
        <f>'表2-财务收支表'!J19</f>
        <v>6855.6176925941272</v>
      </c>
      <c r="K4" s="277">
        <f>'表2-财务收支表'!K19</f>
        <v>6321.8591649606005</v>
      </c>
      <c r="L4" s="277">
        <f>'表2-财务收支表'!L19</f>
        <v>6685.2413432238945</v>
      </c>
      <c r="M4" s="277">
        <f>'表2-财务收支表'!M19</f>
        <v>6317.6812667059021</v>
      </c>
      <c r="N4" s="277">
        <f>'表2-财务收支表'!N19</f>
        <v>5983.6112719910225</v>
      </c>
      <c r="O4" s="277">
        <f t="shared" ref="O4:O12" si="0">SUM(C4:N4)</f>
        <v>70529.641975537059</v>
      </c>
    </row>
    <row r="5" spans="1:15" ht="18" customHeight="1">
      <c r="A5" s="272" t="s">
        <v>233</v>
      </c>
      <c r="B5" s="270">
        <v>3762.9604648862451</v>
      </c>
      <c r="C5" s="277">
        <v>280.52104204070429</v>
      </c>
      <c r="D5" s="277">
        <v>276.90796322236503</v>
      </c>
      <c r="E5" s="277">
        <f>大项成本月分解!E5</f>
        <v>275.42617077622162</v>
      </c>
      <c r="F5" s="277">
        <f>大项成本月分解!F5</f>
        <v>275.85796139308479</v>
      </c>
      <c r="G5" s="277">
        <f>大项成本月分解!G5</f>
        <v>267.22317166016427</v>
      </c>
      <c r="H5" s="277">
        <f>大项成本月分解!H5</f>
        <v>261.4443910688471</v>
      </c>
      <c r="I5" s="277">
        <f>大项成本月分解!I5</f>
        <v>309.57311223875837</v>
      </c>
      <c r="J5" s="277">
        <f>大项成本月分解!J5</f>
        <v>347.50169244072106</v>
      </c>
      <c r="K5" s="277">
        <f>大项成本月分解!K5</f>
        <v>320.465104769535</v>
      </c>
      <c r="L5" s="277">
        <f>大项成本月分解!L5</f>
        <v>339.95606714810577</v>
      </c>
      <c r="M5" s="277">
        <f>大项成本月分解!M5</f>
        <v>320.86202673361009</v>
      </c>
      <c r="N5" s="277">
        <f>大项成本月分解!N5</f>
        <v>304.01911853421734</v>
      </c>
      <c r="O5" s="277">
        <f t="shared" si="0"/>
        <v>3579.7578220263349</v>
      </c>
    </row>
    <row r="6" spans="1:15" ht="18" customHeight="1">
      <c r="A6" s="272" t="s">
        <v>234</v>
      </c>
      <c r="B6" s="270">
        <v>62977.01839999987</v>
      </c>
      <c r="C6" s="277">
        <v>4725.8264895691864</v>
      </c>
      <c r="D6" s="277">
        <v>4968.5052766791687</v>
      </c>
      <c r="E6" s="277">
        <f>'表2-财务收支表'!E17+'表2-财务收支表'!E18</f>
        <v>4646.7652800883188</v>
      </c>
      <c r="F6" s="277">
        <f>'表2-财务收支表'!F17+'表2-财务收支表'!F18</f>
        <v>4651.0232755393417</v>
      </c>
      <c r="G6" s="277">
        <f>'表2-财务收支表'!G17+'表2-财务收支表'!G18</f>
        <v>4511.8948837570515</v>
      </c>
      <c r="H6" s="277">
        <f>'表2-财务收支表'!H17+'表2-财务收支表'!H18</f>
        <v>4420.0261388699691</v>
      </c>
      <c r="I6" s="277">
        <f>'表2-财务收支表'!I17+'表2-财务收支表'!I18</f>
        <v>5229.7305203529295</v>
      </c>
      <c r="J6" s="277">
        <f>'表2-财务收支表'!J17+'表2-财务收支表'!J18</f>
        <v>5799.7554450025045</v>
      </c>
      <c r="K6" s="277">
        <f>'表2-财务收支表'!K17+'表2-财务收支表'!K18</f>
        <v>5358.9802564497932</v>
      </c>
      <c r="L6" s="277">
        <f>'表2-财务收支表'!L17+'表2-财务收支表'!L18</f>
        <v>5691.4320407285004</v>
      </c>
      <c r="M6" s="277">
        <f>'表2-财务收支表'!M17+'表2-财务收支表'!M18</f>
        <v>5390.856626064784</v>
      </c>
      <c r="N6" s="277">
        <f>'表2-财务收支表'!N17+'表2-财务收支表'!N18</f>
        <v>5103.214579602205</v>
      </c>
      <c r="O6" s="277">
        <f t="shared" si="0"/>
        <v>60498.010812703753</v>
      </c>
    </row>
    <row r="7" spans="1:15" ht="18" customHeight="1">
      <c r="A7" s="272" t="s">
        <v>235</v>
      </c>
      <c r="B7" s="270">
        <v>22362.872540541211</v>
      </c>
      <c r="C7" s="277">
        <v>1390.0014747379601</v>
      </c>
      <c r="D7" s="277">
        <v>1604.5752079285946</v>
      </c>
      <c r="E7" s="277">
        <f>E14-E2-E3-E4-E5-E6-E8-E9-E10-E11-E12-E13</f>
        <v>1984.5654222492394</v>
      </c>
      <c r="F7" s="277">
        <f>F14-F2-F3-F4-F5-F6-F8-F9-F10-F11-F12-F13</f>
        <v>1983.9741289847279</v>
      </c>
      <c r="G7" s="277">
        <f t="shared" ref="G7:N7" si="1">G14-G2-G3-G4-G5-G6-G8-G9-G10-G11-G12-G13</f>
        <v>1990.8965317119757</v>
      </c>
      <c r="H7" s="277">
        <f t="shared" si="1"/>
        <v>2005.7704826410165</v>
      </c>
      <c r="I7" s="277">
        <f t="shared" si="1"/>
        <v>2208.7541880333988</v>
      </c>
      <c r="J7" s="277">
        <f t="shared" si="1"/>
        <v>2557.2790202868932</v>
      </c>
      <c r="K7" s="277">
        <f t="shared" si="1"/>
        <v>2624.7863462921459</v>
      </c>
      <c r="L7" s="277">
        <f t="shared" si="1"/>
        <v>2771.4835840534902</v>
      </c>
      <c r="M7" s="277">
        <f t="shared" si="1"/>
        <v>2714.2239798551341</v>
      </c>
      <c r="N7" s="277">
        <f t="shared" si="1"/>
        <v>2625.4344656220942</v>
      </c>
      <c r="O7" s="277">
        <f t="shared" si="0"/>
        <v>26461.744832396671</v>
      </c>
    </row>
    <row r="8" spans="1:15" ht="18" customHeight="1">
      <c r="A8" s="272" t="s">
        <v>236</v>
      </c>
      <c r="B8" s="270">
        <v>58896.819433630495</v>
      </c>
      <c r="C8" s="277">
        <v>4908.06828613587</v>
      </c>
      <c r="D8" s="277">
        <v>4416.6263643144457</v>
      </c>
      <c r="E8" s="277">
        <f>'表2-财务收支表'!E29</f>
        <v>4416.6263643144457</v>
      </c>
      <c r="F8" s="277">
        <f>'表2-财务收支表'!F29</f>
        <v>4416.6263643144457</v>
      </c>
      <c r="G8" s="277">
        <f>'表2-财务收支表'!G29</f>
        <v>4416.6263643144457</v>
      </c>
      <c r="H8" s="277">
        <f>'表2-财务收支表'!H29</f>
        <v>4416.6263643144457</v>
      </c>
      <c r="I8" s="277">
        <f>'表2-财务收支表'!I29</f>
        <v>4416.6263643144457</v>
      </c>
      <c r="J8" s="277">
        <f>'表2-财务收支表'!J29</f>
        <v>4416.6263643144457</v>
      </c>
      <c r="K8" s="277">
        <f>'表2-财务收支表'!K29</f>
        <v>4416.6263643144457</v>
      </c>
      <c r="L8" s="277">
        <f>'表2-财务收支表'!L29</f>
        <v>4416.6263643144457</v>
      </c>
      <c r="M8" s="277">
        <f>'表2-财务收支表'!M29</f>
        <v>4416.6263643144457</v>
      </c>
      <c r="N8" s="277">
        <f>'表2-财务收支表'!N29</f>
        <v>4416.6263643144457</v>
      </c>
      <c r="O8" s="277">
        <f t="shared" si="0"/>
        <v>53490.958293594784</v>
      </c>
    </row>
    <row r="9" spans="1:15" ht="18" customHeight="1">
      <c r="A9" s="272" t="s">
        <v>237</v>
      </c>
      <c r="B9" s="270">
        <v>27786.393056744513</v>
      </c>
      <c r="C9" s="277">
        <v>1829.3053418139148</v>
      </c>
      <c r="D9" s="277">
        <v>2280.6014693632342</v>
      </c>
      <c r="E9" s="277">
        <f>'表2-财务收支表'!E26</f>
        <v>1882.625870943521</v>
      </c>
      <c r="F9" s="277">
        <f>'表2-财务收支表'!F26</f>
        <v>2012.2349907059074</v>
      </c>
      <c r="G9" s="277">
        <f>'表2-财务收支表'!G26</f>
        <v>1815.2259863712893</v>
      </c>
      <c r="H9" s="277">
        <f>'表2-财务收支表'!H26</f>
        <v>1891.2821048394467</v>
      </c>
      <c r="I9" s="277">
        <f>'表2-财务收支表'!I26</f>
        <v>2653.5731981515864</v>
      </c>
      <c r="J9" s="277">
        <f>'表2-财务收支表'!J26</f>
        <v>3114.88964650961</v>
      </c>
      <c r="K9" s="277">
        <f>'表2-财务收支表'!K26</f>
        <v>2254.7636342581454</v>
      </c>
      <c r="L9" s="277">
        <f>'表2-财务收支表'!L26</f>
        <v>2551.676741828825</v>
      </c>
      <c r="M9" s="277">
        <f>'表2-财务收支表'!M26</f>
        <v>2117.0847257705464</v>
      </c>
      <c r="N9" s="277">
        <f>'表2-财务收支表'!N26</f>
        <v>2084.6680391046593</v>
      </c>
      <c r="O9" s="277">
        <f t="shared" si="0"/>
        <v>26487.931749660689</v>
      </c>
    </row>
    <row r="10" spans="1:15" ht="18" customHeight="1">
      <c r="A10" s="272" t="s">
        <v>238</v>
      </c>
      <c r="B10" s="270">
        <v>3353.5806631503842</v>
      </c>
      <c r="C10" s="277">
        <v>212.41401504892835</v>
      </c>
      <c r="D10" s="277">
        <v>284.74316985763005</v>
      </c>
      <c r="E10" s="277">
        <f>'表2-财务收支表'!E27</f>
        <v>222.40902877251838</v>
      </c>
      <c r="F10" s="277">
        <f>'表2-财务收支表'!F27</f>
        <v>242.61864658561106</v>
      </c>
      <c r="G10" s="277">
        <f>'表2-财务收支表'!G27</f>
        <v>214.27935758636639</v>
      </c>
      <c r="H10" s="277">
        <f>'表2-财务收支表'!H27</f>
        <v>231.69065103975342</v>
      </c>
      <c r="I10" s="277">
        <f>'表2-财务收支表'!I27</f>
        <v>332.15972416715283</v>
      </c>
      <c r="J10" s="277">
        <f>'表2-财务收支表'!J27</f>
        <v>394.34764669725485</v>
      </c>
      <c r="K10" s="277">
        <f>'表2-财务收支表'!K27</f>
        <v>267.64496791371943</v>
      </c>
      <c r="L10" s="277">
        <f>'表2-财务收支表'!L27</f>
        <v>308.75515366591839</v>
      </c>
      <c r="M10" s="277">
        <f>'表2-财务收支表'!M27</f>
        <v>245.74042787622869</v>
      </c>
      <c r="N10" s="277">
        <f>'表2-财务收支表'!N27</f>
        <v>245.86181762119932</v>
      </c>
      <c r="O10" s="277">
        <f t="shared" si="0"/>
        <v>3202.6646068322812</v>
      </c>
    </row>
    <row r="11" spans="1:15" ht="18" customHeight="1">
      <c r="A11" s="272" t="s">
        <v>239</v>
      </c>
      <c r="B11" s="270">
        <v>31845.911465586905</v>
      </c>
      <c r="C11" s="277">
        <v>2653.8259554655751</v>
      </c>
      <c r="D11" s="277">
        <v>2653.8259554655751</v>
      </c>
      <c r="E11" s="277">
        <f>'表2-财务收支表'!E28</f>
        <v>2653.8259554655751</v>
      </c>
      <c r="F11" s="277">
        <f>'表2-财务收支表'!F28</f>
        <v>2653.8259554655751</v>
      </c>
      <c r="G11" s="277">
        <f>'表2-财务收支表'!G28</f>
        <v>2653.8259554655751</v>
      </c>
      <c r="H11" s="277">
        <f>'表2-财务收支表'!H28</f>
        <v>2653.8259554655751</v>
      </c>
      <c r="I11" s="277">
        <f>'表2-财务收支表'!I28</f>
        <v>2653.8259554655751</v>
      </c>
      <c r="J11" s="277">
        <f>'表2-财务收支表'!J28</f>
        <v>2653.8259554655751</v>
      </c>
      <c r="K11" s="277">
        <f>'表2-财务收支表'!K28</f>
        <v>2653.8259554655751</v>
      </c>
      <c r="L11" s="277">
        <f>'表2-财务收支表'!L28</f>
        <v>2653.8259554655751</v>
      </c>
      <c r="M11" s="277">
        <f>'表2-财务收支表'!M28</f>
        <v>2653.8259554655751</v>
      </c>
      <c r="N11" s="277">
        <f>'表2-财务收支表'!N28</f>
        <v>2653.8259554655751</v>
      </c>
      <c r="O11" s="277">
        <f t="shared" si="0"/>
        <v>31845.911465586894</v>
      </c>
    </row>
    <row r="12" spans="1:15" ht="18" customHeight="1">
      <c r="A12" s="272" t="s">
        <v>240</v>
      </c>
      <c r="B12" s="270">
        <v>25413.843064697459</v>
      </c>
      <c r="C12" s="277">
        <v>1269.4831796606381</v>
      </c>
      <c r="D12" s="277">
        <v>2876.6564007725683</v>
      </c>
      <c r="E12" s="277">
        <f>'表2-财务收支表'!E30+E26</f>
        <v>1212.5267074926085</v>
      </c>
      <c r="F12" s="277">
        <f>'表2-财务收支表'!F30+F26</f>
        <v>1765.0982911773951</v>
      </c>
      <c r="G12" s="277">
        <f>'表2-财务收支表'!G30+G26</f>
        <v>968.7200824150101</v>
      </c>
      <c r="H12" s="277">
        <f>'表2-财务收支表'!H30+H26</f>
        <v>1497.2077418562926</v>
      </c>
      <c r="I12" s="277">
        <f>'表2-财务收支表'!I30+I26</f>
        <v>3894.6369401704151</v>
      </c>
      <c r="J12" s="277">
        <f>'表2-财务收支表'!J30+J26</f>
        <v>4808.71316570608</v>
      </c>
      <c r="K12" s="277">
        <f>'表2-财务收支表'!K30+K26</f>
        <v>1662.9681955877509</v>
      </c>
      <c r="L12" s="277">
        <f>'表2-财务收支表'!L30+L26</f>
        <v>2485.970751574263</v>
      </c>
      <c r="M12" s="277">
        <f>'表2-财务收支表'!M30+M26</f>
        <v>968.55864257353801</v>
      </c>
      <c r="N12" s="277">
        <f>'表2-财务收支表'!N30+N26</f>
        <v>1178.7026790584132</v>
      </c>
      <c r="O12" s="277">
        <f t="shared" si="0"/>
        <v>24589.242778044969</v>
      </c>
    </row>
    <row r="13" spans="1:15" ht="26.25" customHeight="1">
      <c r="A13" s="273" t="s">
        <v>241</v>
      </c>
      <c r="B13" s="271">
        <v>267</v>
      </c>
      <c r="C13" s="277">
        <v>22.25</v>
      </c>
      <c r="D13" s="277">
        <v>20.12</v>
      </c>
      <c r="E13" s="277">
        <f>(B13-C13-D13)/10</f>
        <v>22.463000000000001</v>
      </c>
      <c r="F13" s="277">
        <v>22.463000000000001</v>
      </c>
      <c r="G13" s="277">
        <v>22.463000000000001</v>
      </c>
      <c r="H13" s="277">
        <v>22.463000000000001</v>
      </c>
      <c r="I13" s="277">
        <v>22.463000000000001</v>
      </c>
      <c r="J13" s="277">
        <v>22.463000000000001</v>
      </c>
      <c r="K13" s="277">
        <v>22.463000000000001</v>
      </c>
      <c r="L13" s="277">
        <v>22.463000000000001</v>
      </c>
      <c r="M13" s="277">
        <v>22.463000000000001</v>
      </c>
      <c r="N13" s="277">
        <v>22.463000000000001</v>
      </c>
      <c r="O13" s="277">
        <f>SUM(C13:N13)</f>
        <v>266.99999999999994</v>
      </c>
    </row>
    <row r="14" spans="1:15">
      <c r="A14" s="272" t="s">
        <v>256</v>
      </c>
      <c r="B14" s="271">
        <f>SUM(B2:B13)</f>
        <v>507682.00648422993</v>
      </c>
      <c r="C14" s="277">
        <f>'表2-财务收支表'!C13</f>
        <v>36297.631812724001</v>
      </c>
      <c r="D14" s="277">
        <f>'表2-财务收支表'!D13</f>
        <v>38945.632376195266</v>
      </c>
      <c r="E14" s="277">
        <f>'表2-财务收支表'!E13</f>
        <v>36797.426718797913</v>
      </c>
      <c r="F14" s="277">
        <f>'表2-财务收支表'!F13</f>
        <v>37150.843072153271</v>
      </c>
      <c r="G14" s="277">
        <f>'表2-财务收支表'!G13</f>
        <v>36221.665917598031</v>
      </c>
      <c r="H14" s="277">
        <f>'表2-财务收支表'!H13</f>
        <v>36483.03767382662</v>
      </c>
      <c r="I14" s="277">
        <f>'表2-财务收支表'!I13</f>
        <v>41912.462235766048</v>
      </c>
      <c r="J14" s="277">
        <f>'表2-财务收支表'!J13</f>
        <v>48441.319322238916</v>
      </c>
      <c r="K14" s="277">
        <f>'表2-财务收支表'!K13</f>
        <v>42746.847840777802</v>
      </c>
      <c r="L14" s="277">
        <f>'表2-财务收支表'!L13</f>
        <v>45594.836125471287</v>
      </c>
      <c r="M14" s="277">
        <f>'表2-财务收支表'!M13</f>
        <v>42207.018309308041</v>
      </c>
      <c r="N14" s="277">
        <f>'表2-财务收支表'!N13</f>
        <v>41078.330698767095</v>
      </c>
      <c r="O14" s="277">
        <f>SUM(C14:N14)</f>
        <v>483877.05210362427</v>
      </c>
    </row>
    <row r="17" spans="1:14">
      <c r="A17" s="269" t="s">
        <v>257</v>
      </c>
      <c r="B17">
        <f>大项成本月分解!B21</f>
        <v>54841.219907719998</v>
      </c>
      <c r="C17">
        <f>大项成本月分解!C21</f>
        <v>4063.8732129509503</v>
      </c>
      <c r="D17">
        <f>大项成本月分解!D21</f>
        <v>4063.8732129509503</v>
      </c>
      <c r="E17">
        <f>大项成本月分解!E21</f>
        <v>4063.8732129509503</v>
      </c>
      <c r="F17">
        <f>大项成本月分解!F21</f>
        <v>4136.4423774679317</v>
      </c>
      <c r="G17">
        <f>大项成本月分解!G21</f>
        <v>4260.5122393840611</v>
      </c>
      <c r="H17">
        <f>大项成本月分解!H21</f>
        <v>4354.1498710188753</v>
      </c>
      <c r="I17">
        <f>大项成本月分解!I21</f>
        <v>4354.1498710188753</v>
      </c>
      <c r="J17">
        <f>大项成本月分解!J21</f>
        <v>4789.5648581207633</v>
      </c>
      <c r="K17">
        <f>大项成本月分解!K21</f>
        <v>5079.8415161886878</v>
      </c>
      <c r="L17">
        <f>大项成本月分解!L21</f>
        <v>5224.9798452226505</v>
      </c>
      <c r="M17">
        <f>大项成本月分解!M21</f>
        <v>5224.9798452226505</v>
      </c>
      <c r="N17">
        <f>大项成本月分解!N21</f>
        <v>5224.9798452226505</v>
      </c>
    </row>
    <row r="18" spans="1:14">
      <c r="A18" s="279" t="s">
        <v>258</v>
      </c>
      <c r="B18" s="278">
        <f>B3-B17</f>
        <v>14243.758073033321</v>
      </c>
      <c r="C18">
        <v>1146.8023331257218</v>
      </c>
      <c r="D18">
        <v>1200.0000000000018</v>
      </c>
      <c r="E18">
        <f>$C$21/10-20</f>
        <v>1192.9822179094022</v>
      </c>
      <c r="F18">
        <f t="shared" ref="F18:N18" si="2">$C$21/10</f>
        <v>1212.9822179094022</v>
      </c>
      <c r="G18">
        <f>$C$21/10+20</f>
        <v>1232.9822179094022</v>
      </c>
      <c r="H18">
        <f t="shared" si="2"/>
        <v>1212.9822179094022</v>
      </c>
      <c r="I18">
        <f t="shared" si="2"/>
        <v>1212.9822179094022</v>
      </c>
      <c r="J18">
        <f t="shared" si="2"/>
        <v>1212.9822179094022</v>
      </c>
      <c r="K18">
        <f t="shared" si="2"/>
        <v>1212.9822179094022</v>
      </c>
      <c r="L18">
        <f t="shared" si="2"/>
        <v>1212.9822179094022</v>
      </c>
      <c r="M18">
        <f t="shared" si="2"/>
        <v>1212.9822179094022</v>
      </c>
      <c r="N18">
        <f t="shared" si="2"/>
        <v>1212.9822179094022</v>
      </c>
    </row>
    <row r="19" spans="1:14">
      <c r="C19" s="278">
        <f>C3-C17</f>
        <v>1030.3691135325093</v>
      </c>
      <c r="D19" s="278">
        <f>D3-D17</f>
        <v>1083.5667804067893</v>
      </c>
      <c r="E19" s="278">
        <f t="shared" ref="E19:N19" si="3">E3-E17</f>
        <v>1192.9822179094022</v>
      </c>
      <c r="F19" s="278">
        <f t="shared" si="3"/>
        <v>1212.9822179094017</v>
      </c>
      <c r="G19" s="278">
        <f t="shared" si="3"/>
        <v>1232.9822179094026</v>
      </c>
      <c r="H19" s="278">
        <f t="shared" si="3"/>
        <v>1212.9822179094026</v>
      </c>
      <c r="I19" s="278">
        <f t="shared" si="3"/>
        <v>1212.9822179094026</v>
      </c>
      <c r="J19" s="278">
        <f t="shared" si="3"/>
        <v>1212.9822179094017</v>
      </c>
      <c r="K19" s="278">
        <f t="shared" si="3"/>
        <v>1212.9822179094026</v>
      </c>
      <c r="L19" s="278">
        <f t="shared" si="3"/>
        <v>1212.9822179094017</v>
      </c>
      <c r="M19" s="278">
        <f t="shared" si="3"/>
        <v>1212.9822179094017</v>
      </c>
      <c r="N19" s="278">
        <f t="shared" si="3"/>
        <v>1212.9822179094017</v>
      </c>
    </row>
    <row r="20" spans="1:14">
      <c r="C20">
        <f>C19/B18</f>
        <v>7.233829079723228E-2</v>
      </c>
      <c r="D20">
        <f>D19/B18</f>
        <v>7.6073096359185438E-2</v>
      </c>
    </row>
    <row r="21" spans="1:14">
      <c r="C21" s="278">
        <f>B18-C19-D19</f>
        <v>12129.822179094022</v>
      </c>
    </row>
    <row r="23" spans="1:14">
      <c r="A23">
        <v>25413.843064697459</v>
      </c>
    </row>
    <row r="24" spans="1:14">
      <c r="A24">
        <v>22473.843064697499</v>
      </c>
      <c r="C24">
        <f>'表2-财务收支表'!C30</f>
        <v>1024.4831796606411</v>
      </c>
      <c r="D24">
        <f>'表2-财务收支表'!D30</f>
        <v>2368.1534212854813</v>
      </c>
      <c r="E24">
        <f>'表2-财务收支表'!E30</f>
        <v>1036.1558119871479</v>
      </c>
      <c r="F24">
        <f>'表2-财务收支表'!F30</f>
        <v>1575.0456947664177</v>
      </c>
      <c r="G24">
        <f>'表2-财务收支表'!G30</f>
        <v>800.46018992366635</v>
      </c>
      <c r="H24">
        <f>'表2-财务收支表'!H30</f>
        <v>1315.4657365252901</v>
      </c>
      <c r="I24">
        <f>'表2-财务收支表'!I30</f>
        <v>3637.6948915636381</v>
      </c>
      <c r="J24">
        <f>'表2-财务收支表'!J30</f>
        <v>4504.9601777900562</v>
      </c>
      <c r="K24">
        <f>'表2-财务收支表'!K30</f>
        <v>1452.6781121787335</v>
      </c>
      <c r="L24">
        <f>'表2-财务收支表'!L30</f>
        <v>2245.8633089189834</v>
      </c>
      <c r="M24">
        <f>'表2-财务收支表'!M30</f>
        <v>776.37303662264685</v>
      </c>
      <c r="N24">
        <f>'表2-财务收支表'!N30</f>
        <v>986.24155043219957</v>
      </c>
    </row>
    <row r="25" spans="1:14">
      <c r="A25" s="278">
        <f>A23-A24-C25-D25</f>
        <v>2186.4970205128757</v>
      </c>
      <c r="C25" s="278">
        <f>C12-C24</f>
        <v>244.99999999999704</v>
      </c>
      <c r="D25" s="278">
        <f>D12-D24</f>
        <v>508.50297948708703</v>
      </c>
      <c r="E25" s="278">
        <f>E12-E24</f>
        <v>176.37089550546057</v>
      </c>
      <c r="F25" s="278">
        <f t="shared" ref="F25:N25" si="4">F12-F24</f>
        <v>190.05259641097746</v>
      </c>
      <c r="G25" s="278">
        <f t="shared" si="4"/>
        <v>168.25989249134375</v>
      </c>
      <c r="H25" s="278">
        <f t="shared" si="4"/>
        <v>181.74200533100247</v>
      </c>
      <c r="I25" s="278">
        <f t="shared" si="4"/>
        <v>256.94204860677701</v>
      </c>
      <c r="J25" s="278">
        <f t="shared" si="4"/>
        <v>303.75298791602381</v>
      </c>
      <c r="K25" s="278">
        <f t="shared" si="4"/>
        <v>210.29008340901737</v>
      </c>
      <c r="L25" s="278">
        <f t="shared" si="4"/>
        <v>240.10744265527956</v>
      </c>
      <c r="M25" s="278">
        <f t="shared" si="4"/>
        <v>192.18560595089116</v>
      </c>
      <c r="N25" s="278">
        <f t="shared" si="4"/>
        <v>192.46112862621362</v>
      </c>
    </row>
    <row r="26" spans="1:14">
      <c r="A26">
        <v>453512.635239241</v>
      </c>
      <c r="C26">
        <f>C25/A25</f>
        <v>0.11205137610593616</v>
      </c>
      <c r="D26">
        <f>D25/A25</f>
        <v>0.23256513716529559</v>
      </c>
      <c r="E26">
        <f>'表2-财务收支表'!E4/$A$26*$A$25</f>
        <v>176.37089550546062</v>
      </c>
      <c r="F26">
        <f>'表2-财务收支表'!F4/$A$26*$A$25</f>
        <v>190.05259641097754</v>
      </c>
      <c r="G26">
        <f>'表2-财务收支表'!G4/$A$26*$A$25</f>
        <v>168.25989249134378</v>
      </c>
      <c r="H26">
        <f>'表2-财务收支表'!H4/$A$26*$A$25</f>
        <v>181.74200533100242</v>
      </c>
      <c r="I26">
        <f>'表2-财务收支表'!I4/$A$26*$A$25</f>
        <v>256.94204860677718</v>
      </c>
      <c r="J26">
        <f>'表2-财务收支表'!J4/$A$26*$A$25</f>
        <v>303.75298791602415</v>
      </c>
      <c r="K26">
        <f>'表2-财务收支表'!K4/$A$26*$A$25</f>
        <v>210.29008340901737</v>
      </c>
      <c r="L26">
        <f>'表2-财务收支表'!L4/$A$26*$A$25</f>
        <v>240.10744265527936</v>
      </c>
      <c r="M26">
        <f>'表2-财务收支表'!M4/$A$26*$A$25</f>
        <v>192.1856059508911</v>
      </c>
      <c r="N26">
        <f>'表2-财务收支表'!N4/$A$26*$A$25</f>
        <v>192.46112862621365</v>
      </c>
    </row>
  </sheetData>
  <phoneticPr fontId="4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表1-生产经营预算表</vt:lpstr>
      <vt:lpstr>表2-财务收支表</vt:lpstr>
      <vt:lpstr>表3-利润预算表</vt:lpstr>
      <vt:lpstr>表4-运力计划</vt:lpstr>
      <vt:lpstr>表12-投资收益明细表及公允价值变动明细表</vt:lpstr>
      <vt:lpstr>表14-分航线损益预算</vt:lpstr>
      <vt:lpstr>大项成本月分解</vt:lpstr>
      <vt:lpstr>十二大成本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lipeng-chen1</dc:creator>
  <cp:lastModifiedBy>陈立鹏</cp:lastModifiedBy>
  <dcterms:created xsi:type="dcterms:W3CDTF">1996-12-17T01:32:00Z</dcterms:created>
  <dcterms:modified xsi:type="dcterms:W3CDTF">2016-07-04T06:38:47Z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