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lutter\Flutter\01-Proyectos\dulce_gestion\dulce-gestion-desing\"/>
    </mc:Choice>
  </mc:AlternateContent>
  <xr:revisionPtr revIDLastSave="0" documentId="13_ncr:1_{37D00B71-94AC-4CEF-BE50-9C406DD47DA5}" xr6:coauthVersionLast="47" xr6:coauthVersionMax="47" xr10:uidLastSave="{00000000-0000-0000-0000-000000000000}"/>
  <bookViews>
    <workbookView xWindow="-120" yWindow="-120" windowWidth="29040" windowHeight="15840" activeTab="5" xr2:uid="{9392F083-1FC1-4B58-91F0-857DD9FC6C58}"/>
  </bookViews>
  <sheets>
    <sheet name="Cupcakes" sheetId="1" r:id="rId1"/>
    <sheet name="MINI CAKE" sheetId="6" r:id="rId2"/>
    <sheet name="Gelatina de Arcoiris" sheetId="2" r:id="rId3"/>
    <sheet name="Torta revelacion" sheetId="3" r:id="rId4"/>
    <sheet name="TORTA" sheetId="7" r:id="rId5"/>
    <sheet name="MUSS" sheetId="5" r:id="rId6"/>
    <sheet name="ORDEN DE COMPR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7" l="1"/>
  <c r="T36" i="7"/>
  <c r="F45" i="7"/>
  <c r="T37" i="7"/>
  <c r="F46" i="7"/>
  <c r="H27" i="7"/>
  <c r="H26" i="7"/>
  <c r="K27" i="7"/>
  <c r="K26" i="7"/>
  <c r="H29" i="7"/>
  <c r="C45" i="7" s="1"/>
  <c r="C37" i="1"/>
  <c r="H37" i="1"/>
  <c r="N16" i="1"/>
  <c r="K28" i="1"/>
  <c r="L44" i="1"/>
  <c r="G57" i="7"/>
  <c r="G56" i="7"/>
  <c r="C52" i="7"/>
  <c r="G54" i="7"/>
  <c r="M30" i="6"/>
  <c r="D46" i="7"/>
  <c r="D47" i="7"/>
  <c r="F47" i="7"/>
  <c r="S38" i="7"/>
  <c r="D50" i="3"/>
  <c r="C50" i="3"/>
  <c r="T26" i="7"/>
  <c r="T25" i="7"/>
  <c r="T24" i="7"/>
  <c r="T21" i="7"/>
  <c r="T20" i="7"/>
  <c r="T19" i="7"/>
  <c r="T16" i="7"/>
  <c r="T15" i="7"/>
  <c r="T14" i="7"/>
  <c r="N26" i="7"/>
  <c r="N29" i="7" s="1"/>
  <c r="C38" i="7"/>
  <c r="C37" i="7"/>
  <c r="C36" i="7"/>
  <c r="L30" i="7"/>
  <c r="L27" i="7"/>
  <c r="L26" i="7"/>
  <c r="I30" i="7"/>
  <c r="F30" i="7"/>
  <c r="C32" i="7"/>
  <c r="B32" i="7"/>
  <c r="Q8" i="7"/>
  <c r="E29" i="7"/>
  <c r="N19" i="7"/>
  <c r="L18" i="7"/>
  <c r="K19" i="7"/>
  <c r="H19" i="7"/>
  <c r="E11" i="7"/>
  <c r="K18" i="7" s="1"/>
  <c r="D11" i="7"/>
  <c r="K17" i="7" s="1"/>
  <c r="K16" i="7"/>
  <c r="A13" i="3"/>
  <c r="G19" i="3"/>
  <c r="E20" i="7"/>
  <c r="I18" i="7"/>
  <c r="L17" i="7"/>
  <c r="I17" i="7"/>
  <c r="L16" i="7"/>
  <c r="N16" i="7" s="1"/>
  <c r="H16" i="7"/>
  <c r="N15" i="7"/>
  <c r="J17" i="3"/>
  <c r="E30" i="6"/>
  <c r="D30" i="6"/>
  <c r="C30" i="6"/>
  <c r="F37" i="1"/>
  <c r="B30" i="6"/>
  <c r="A30" i="6"/>
  <c r="D22" i="6"/>
  <c r="I22" i="6"/>
  <c r="I20" i="6"/>
  <c r="H25" i="6"/>
  <c r="I19" i="6"/>
  <c r="F25" i="6"/>
  <c r="I16" i="6"/>
  <c r="D34" i="2"/>
  <c r="O18" i="6"/>
  <c r="O19" i="6" s="1"/>
  <c r="O17" i="6"/>
  <c r="O16" i="6"/>
  <c r="K29" i="7" l="1"/>
  <c r="C46" i="7" s="1"/>
  <c r="N27" i="7"/>
  <c r="D45" i="7"/>
  <c r="H45" i="7" s="1"/>
  <c r="N17" i="7"/>
  <c r="N20" i="7" s="1"/>
  <c r="C47" i="7" s="1"/>
  <c r="H47" i="7" s="1"/>
  <c r="H17" i="7"/>
  <c r="N18" i="7"/>
  <c r="H18" i="7"/>
  <c r="K20" i="7"/>
  <c r="D16" i="6"/>
  <c r="H46" i="7" l="1"/>
  <c r="K46" i="7" s="1"/>
  <c r="I47" i="7"/>
  <c r="K47" i="7"/>
  <c r="N47" i="7"/>
  <c r="H20" i="7"/>
  <c r="I30" i="6"/>
  <c r="R43" i="1"/>
  <c r="R42" i="1"/>
  <c r="AK20" i="4"/>
  <c r="AG20" i="4"/>
  <c r="AK11" i="4"/>
  <c r="AJ25" i="4"/>
  <c r="AF25" i="4"/>
  <c r="AF20" i="4"/>
  <c r="D131" i="5"/>
  <c r="E131" i="5"/>
  <c r="H117" i="5"/>
  <c r="E117" i="5"/>
  <c r="H116" i="5"/>
  <c r="E116" i="5"/>
  <c r="H115" i="5"/>
  <c r="E115" i="5"/>
  <c r="F133" i="5"/>
  <c r="C133" i="5"/>
  <c r="F132" i="5"/>
  <c r="C132" i="5"/>
  <c r="F131" i="5"/>
  <c r="C131" i="5"/>
  <c r="E127" i="5"/>
  <c r="E126" i="5"/>
  <c r="E125" i="5"/>
  <c r="D118" i="5"/>
  <c r="E114" i="5"/>
  <c r="H114" i="5" s="1"/>
  <c r="E113" i="5"/>
  <c r="H113" i="5" s="1"/>
  <c r="E112" i="5"/>
  <c r="H112" i="5" s="1"/>
  <c r="E111" i="5"/>
  <c r="H111" i="5" s="1"/>
  <c r="E110" i="5"/>
  <c r="H110" i="5" s="1"/>
  <c r="E109" i="5"/>
  <c r="H108" i="5"/>
  <c r="E108" i="5"/>
  <c r="E107" i="5"/>
  <c r="H107" i="5" s="1"/>
  <c r="E85" i="5"/>
  <c r="H85" i="5" s="1"/>
  <c r="H56" i="5"/>
  <c r="D71" i="5" s="1"/>
  <c r="E55" i="5"/>
  <c r="H55" i="5" s="1"/>
  <c r="H25" i="5"/>
  <c r="D40" i="5" s="1"/>
  <c r="H24" i="5"/>
  <c r="E24" i="5"/>
  <c r="F101" i="5"/>
  <c r="C101" i="5"/>
  <c r="F100" i="5"/>
  <c r="C100" i="5"/>
  <c r="F99" i="5"/>
  <c r="C99" i="5"/>
  <c r="E95" i="5"/>
  <c r="E101" i="5" s="1"/>
  <c r="E94" i="5"/>
  <c r="E93" i="5"/>
  <c r="E99" i="5" s="1"/>
  <c r="D86" i="5"/>
  <c r="E84" i="5"/>
  <c r="H84" i="5" s="1"/>
  <c r="E83" i="5"/>
  <c r="H83" i="5" s="1"/>
  <c r="H86" i="5" s="1"/>
  <c r="E82" i="5"/>
  <c r="H82" i="5" s="1"/>
  <c r="E81" i="5"/>
  <c r="H81" i="5" s="1"/>
  <c r="E80" i="5"/>
  <c r="E79" i="5"/>
  <c r="H79" i="5" s="1"/>
  <c r="H78" i="5"/>
  <c r="E78" i="5"/>
  <c r="F71" i="5"/>
  <c r="C71" i="5"/>
  <c r="F70" i="5"/>
  <c r="C70" i="5"/>
  <c r="D70" i="5" s="1"/>
  <c r="F69" i="5"/>
  <c r="C69" i="5"/>
  <c r="E65" i="5"/>
  <c r="E71" i="5" s="1"/>
  <c r="E64" i="5"/>
  <c r="E63" i="5"/>
  <c r="E69" i="5" s="1"/>
  <c r="D56" i="5"/>
  <c r="E54" i="5"/>
  <c r="H54" i="5" s="1"/>
  <c r="E53" i="5"/>
  <c r="H53" i="5" s="1"/>
  <c r="E52" i="5"/>
  <c r="H52" i="5" s="1"/>
  <c r="H51" i="5"/>
  <c r="E51" i="5"/>
  <c r="E50" i="5"/>
  <c r="E49" i="5"/>
  <c r="H49" i="5" s="1"/>
  <c r="E48" i="5"/>
  <c r="H48" i="5" s="1"/>
  <c r="C42" i="5"/>
  <c r="C41" i="5"/>
  <c r="C40" i="5"/>
  <c r="F40" i="5"/>
  <c r="F41" i="5"/>
  <c r="F42" i="5"/>
  <c r="F34" i="2"/>
  <c r="E40" i="5"/>
  <c r="E41" i="5"/>
  <c r="E42" i="5"/>
  <c r="E34" i="2"/>
  <c r="G34" i="2" s="1"/>
  <c r="E34" i="5"/>
  <c r="E33" i="5"/>
  <c r="E32" i="5"/>
  <c r="D25" i="5"/>
  <c r="E23" i="5"/>
  <c r="H23" i="5" s="1"/>
  <c r="E19" i="5"/>
  <c r="E20" i="5"/>
  <c r="H20" i="5" s="1"/>
  <c r="E21" i="5"/>
  <c r="H21" i="5" s="1"/>
  <c r="E22" i="5"/>
  <c r="H22" i="5" s="1"/>
  <c r="E18" i="5"/>
  <c r="H18" i="5" s="1"/>
  <c r="E17" i="5"/>
  <c r="H17" i="5" s="1"/>
  <c r="X20" i="4"/>
  <c r="T17" i="4"/>
  <c r="R20" i="4" s="1"/>
  <c r="U20" i="4" s="1"/>
  <c r="N17" i="4"/>
  <c r="O22" i="4"/>
  <c r="D44" i="1"/>
  <c r="D37" i="1"/>
  <c r="N18" i="1"/>
  <c r="N17" i="1"/>
  <c r="D32" i="1"/>
  <c r="D20" i="1"/>
  <c r="H31" i="1"/>
  <c r="H28" i="1"/>
  <c r="H27" i="1"/>
  <c r="E27" i="1"/>
  <c r="H30" i="1"/>
  <c r="E29" i="1"/>
  <c r="H29" i="1" s="1"/>
  <c r="E28" i="1"/>
  <c r="H17" i="1"/>
  <c r="H16" i="1"/>
  <c r="E19" i="1"/>
  <c r="E18" i="1"/>
  <c r="H18" i="1" s="1"/>
  <c r="E16" i="1"/>
  <c r="E15" i="1"/>
  <c r="H15" i="1"/>
  <c r="G10" i="4"/>
  <c r="B15" i="4"/>
  <c r="B10" i="4"/>
  <c r="K35" i="2"/>
  <c r="K36" i="2"/>
  <c r="F52" i="3"/>
  <c r="F51" i="3"/>
  <c r="F50" i="3"/>
  <c r="D52" i="3"/>
  <c r="D51" i="3"/>
  <c r="S29" i="3"/>
  <c r="S28" i="3"/>
  <c r="S27" i="3"/>
  <c r="S30" i="3" s="1"/>
  <c r="S25" i="3"/>
  <c r="S24" i="3"/>
  <c r="S23" i="3"/>
  <c r="S22" i="3"/>
  <c r="R39" i="3"/>
  <c r="S19" i="3"/>
  <c r="S18" i="3"/>
  <c r="S17" i="3"/>
  <c r="S20" i="3" s="1"/>
  <c r="K13" i="2"/>
  <c r="K31" i="3"/>
  <c r="M31" i="3" s="1"/>
  <c r="K30" i="3"/>
  <c r="K29" i="3"/>
  <c r="M29" i="3" s="1"/>
  <c r="G29" i="3"/>
  <c r="H31" i="3"/>
  <c r="J31" i="3" s="1"/>
  <c r="H30" i="3"/>
  <c r="J30" i="3" s="1"/>
  <c r="D26" i="3"/>
  <c r="E26" i="3" s="1"/>
  <c r="C26" i="3"/>
  <c r="G31" i="3" s="1"/>
  <c r="B26" i="3"/>
  <c r="G30" i="3" s="1"/>
  <c r="A26" i="3"/>
  <c r="H29" i="3"/>
  <c r="J29" i="3" s="1"/>
  <c r="D33" i="3"/>
  <c r="G22" i="3"/>
  <c r="H50" i="3" s="1"/>
  <c r="D22" i="3"/>
  <c r="M17" i="3"/>
  <c r="K20" i="3"/>
  <c r="M20" i="3" s="1"/>
  <c r="K19" i="3"/>
  <c r="K18" i="3"/>
  <c r="M18" i="3" s="1"/>
  <c r="H20" i="3"/>
  <c r="J20" i="3" s="1"/>
  <c r="H19" i="3"/>
  <c r="J18" i="3"/>
  <c r="G20" i="3"/>
  <c r="B13" i="3"/>
  <c r="G18" i="3"/>
  <c r="H35" i="2"/>
  <c r="L40" i="2"/>
  <c r="L41" i="2"/>
  <c r="K41" i="2"/>
  <c r="K40" i="2"/>
  <c r="L36" i="2"/>
  <c r="H41" i="2"/>
  <c r="H40" i="2"/>
  <c r="J36" i="2"/>
  <c r="J35" i="2"/>
  <c r="H36" i="2"/>
  <c r="G36" i="2"/>
  <c r="G35" i="2"/>
  <c r="O15" i="2"/>
  <c r="F35" i="2" s="1"/>
  <c r="F36" i="2"/>
  <c r="K16" i="2"/>
  <c r="E36" i="2"/>
  <c r="E35" i="2"/>
  <c r="D35" i="2"/>
  <c r="D36" i="2"/>
  <c r="K15" i="2"/>
  <c r="K14" i="2"/>
  <c r="I46" i="7" l="1"/>
  <c r="N46" i="7" s="1"/>
  <c r="K50" i="3"/>
  <c r="I50" i="3"/>
  <c r="N50" i="3" s="1"/>
  <c r="H32" i="1"/>
  <c r="I37" i="1" s="1"/>
  <c r="Z20" i="4"/>
  <c r="V20" i="4"/>
  <c r="E133" i="5"/>
  <c r="H118" i="5"/>
  <c r="D133" i="5" s="1"/>
  <c r="G131" i="5"/>
  <c r="D132" i="5"/>
  <c r="E132" i="5"/>
  <c r="D69" i="5"/>
  <c r="G69" i="5" s="1"/>
  <c r="D100" i="5"/>
  <c r="D101" i="5"/>
  <c r="G101" i="5" s="1"/>
  <c r="E100" i="5"/>
  <c r="G71" i="5"/>
  <c r="G70" i="5"/>
  <c r="E70" i="5"/>
  <c r="H34" i="2"/>
  <c r="K34" i="2" s="1"/>
  <c r="L34" i="2" s="1"/>
  <c r="H39" i="2"/>
  <c r="J34" i="2"/>
  <c r="G40" i="5"/>
  <c r="H40" i="5" s="1"/>
  <c r="I52" i="3"/>
  <c r="G32" i="3"/>
  <c r="M32" i="3"/>
  <c r="J32" i="3"/>
  <c r="J33" i="3"/>
  <c r="M30" i="3"/>
  <c r="M33" i="3" s="1"/>
  <c r="G33" i="3"/>
  <c r="M19" i="3"/>
  <c r="M22" i="3" s="1"/>
  <c r="C52" i="3" s="1"/>
  <c r="H52" i="3" s="1"/>
  <c r="K52" i="3" s="1"/>
  <c r="J19" i="3"/>
  <c r="J22" i="3" s="1"/>
  <c r="C51" i="3" s="1"/>
  <c r="H51" i="3" s="1"/>
  <c r="L35" i="2"/>
  <c r="K51" i="3" l="1"/>
  <c r="I51" i="3"/>
  <c r="K37" i="1"/>
  <c r="N37" i="1" s="1"/>
  <c r="P37" i="1" s="1"/>
  <c r="AA20" i="4"/>
  <c r="AB20" i="4" s="1"/>
  <c r="G133" i="5"/>
  <c r="H133" i="5" s="1"/>
  <c r="I131" i="5"/>
  <c r="H131" i="5"/>
  <c r="G132" i="5"/>
  <c r="I133" i="5"/>
  <c r="H101" i="5"/>
  <c r="I101" i="5"/>
  <c r="D99" i="5"/>
  <c r="G99" i="5" s="1"/>
  <c r="G100" i="5"/>
  <c r="I71" i="5"/>
  <c r="H71" i="5"/>
  <c r="H70" i="5"/>
  <c r="I70" i="5"/>
  <c r="J70" i="5" s="1"/>
  <c r="K70" i="5" s="1"/>
  <c r="I69" i="5"/>
  <c r="H69" i="5"/>
  <c r="I40" i="5"/>
  <c r="K39" i="2"/>
  <c r="L39" i="2" s="1"/>
  <c r="D41" i="5"/>
  <c r="G41" i="5" s="1"/>
  <c r="D42" i="5"/>
  <c r="G42" i="5" s="1"/>
  <c r="N52" i="3"/>
  <c r="H20" i="1"/>
  <c r="N51" i="3" l="1"/>
  <c r="R37" i="1"/>
  <c r="J131" i="5"/>
  <c r="K131" i="5" s="1"/>
  <c r="J133" i="5"/>
  <c r="K133" i="5" s="1"/>
  <c r="H132" i="5"/>
  <c r="I132" i="5"/>
  <c r="J101" i="5"/>
  <c r="K101" i="5" s="1"/>
  <c r="J71" i="5"/>
  <c r="K71" i="5" s="1"/>
  <c r="I99" i="5"/>
  <c r="H99" i="5"/>
  <c r="H100" i="5"/>
  <c r="I100" i="5"/>
  <c r="J69" i="5"/>
  <c r="K69" i="5" s="1"/>
  <c r="J40" i="5"/>
  <c r="K40" i="5" s="1"/>
  <c r="H42" i="5"/>
  <c r="I42" i="5"/>
  <c r="H41" i="5"/>
  <c r="I41" i="5"/>
  <c r="T37" i="1"/>
  <c r="S37" i="1"/>
  <c r="Q37" i="1"/>
  <c r="J132" i="5" l="1"/>
  <c r="K132" i="5" s="1"/>
  <c r="J100" i="5"/>
  <c r="K100" i="5" s="1"/>
  <c r="J99" i="5"/>
  <c r="K99" i="5" s="1"/>
  <c r="J41" i="5"/>
  <c r="K41" i="5" s="1"/>
  <c r="J42" i="5"/>
  <c r="K42" i="5" s="1"/>
  <c r="K45" i="7" l="1"/>
  <c r="N45" i="7" s="1"/>
</calcChain>
</file>

<file path=xl/sharedStrings.xml><?xml version="1.0" encoding="utf-8"?>
<sst xmlns="http://schemas.openxmlformats.org/spreadsheetml/2006/main" count="850" uniqueCount="253">
  <si>
    <t xml:space="preserve">Gelatina sin sabor </t>
  </si>
  <si>
    <t xml:space="preserve">leche condensada </t>
  </si>
  <si>
    <t>Vinilla</t>
  </si>
  <si>
    <t>Gelatina naranja</t>
  </si>
  <si>
    <t>Gelatina Cereza</t>
  </si>
  <si>
    <t>Gelatina mora</t>
  </si>
  <si>
    <t>Gelatina piña</t>
  </si>
  <si>
    <t>Gelatina  fresa</t>
  </si>
  <si>
    <t>g</t>
  </si>
  <si>
    <t>Vasos</t>
  </si>
  <si>
    <t>cucharas</t>
  </si>
  <si>
    <t>ml</t>
  </si>
  <si>
    <t>u</t>
  </si>
  <si>
    <t>MATERIALES</t>
  </si>
  <si>
    <t>Onz</t>
  </si>
  <si>
    <t>x50</t>
  </si>
  <si>
    <t>Luz</t>
  </si>
  <si>
    <t>Agua</t>
  </si>
  <si>
    <t>L</t>
  </si>
  <si>
    <t>Gas</t>
  </si>
  <si>
    <t>h</t>
  </si>
  <si>
    <t>Horas totales laboradas</t>
  </si>
  <si>
    <t xml:space="preserve">Hora de trabajo en colombia </t>
  </si>
  <si>
    <t xml:space="preserve">Beneficio </t>
  </si>
  <si>
    <t xml:space="preserve">Gastos maquinaria </t>
  </si>
  <si>
    <t>Precio para vaso de 5 onz</t>
  </si>
  <si>
    <t>Precio para vaso de 7 onz</t>
  </si>
  <si>
    <t>Precio para vaso de 3,5 onz</t>
  </si>
  <si>
    <t>Beneficio -rebaja</t>
  </si>
  <si>
    <t xml:space="preserve">H LABORADAS </t>
  </si>
  <si>
    <t>INSUMOS</t>
  </si>
  <si>
    <t>BENEFICIO (20%)</t>
  </si>
  <si>
    <t>GASTOS MAQUINARIA (2%)</t>
  </si>
  <si>
    <t>TOTAL</t>
  </si>
  <si>
    <t>U x30</t>
  </si>
  <si>
    <t>BENEFICIO (15%) - rebaja</t>
  </si>
  <si>
    <t>Premezcla</t>
  </si>
  <si>
    <t>huevos</t>
  </si>
  <si>
    <t>aceite</t>
  </si>
  <si>
    <t>1/2 Lb</t>
  </si>
  <si>
    <t>agua</t>
  </si>
  <si>
    <t>1 Lb</t>
  </si>
  <si>
    <t>*</t>
  </si>
  <si>
    <t>1 Lb 1/2</t>
  </si>
  <si>
    <t>Total</t>
  </si>
  <si>
    <t>MASA</t>
  </si>
  <si>
    <t>Base</t>
  </si>
  <si>
    <t>FROSTING DE QUESO</t>
  </si>
  <si>
    <t>Azucar glass</t>
  </si>
  <si>
    <t>Vainilla</t>
  </si>
  <si>
    <t>Mantequilla sin sal</t>
  </si>
  <si>
    <t>queso crema</t>
  </si>
  <si>
    <t>mantequilla (1g)</t>
  </si>
  <si>
    <t>quso (1g)</t>
  </si>
  <si>
    <t>azucar (1g)</t>
  </si>
  <si>
    <t>vainilla (1ml)</t>
  </si>
  <si>
    <t>1 cdita = 5 ml</t>
  </si>
  <si>
    <t>cdita</t>
  </si>
  <si>
    <t>GASTOS INDIRECTOS</t>
  </si>
  <si>
    <t>BENEFICIO (25%)</t>
  </si>
  <si>
    <t>VALOR CON FROSTING DE QUESO</t>
  </si>
  <si>
    <t>NOMBRE</t>
  </si>
  <si>
    <t>CANTIDAD</t>
  </si>
  <si>
    <t>DIRECCION</t>
  </si>
  <si>
    <t xml:space="preserve">TELEFONO </t>
  </si>
  <si>
    <t>PRECIO</t>
  </si>
  <si>
    <t>Adriana Vargas</t>
  </si>
  <si>
    <t xml:space="preserve">Mz E sur Casa 6 </t>
  </si>
  <si>
    <t>BARRIO</t>
  </si>
  <si>
    <t>Orquidea</t>
  </si>
  <si>
    <t>PRODUCTO</t>
  </si>
  <si>
    <t>2 cajas</t>
  </si>
  <si>
    <t xml:space="preserve">Jhoana Rincon </t>
  </si>
  <si>
    <t xml:space="preserve">1 caja </t>
  </si>
  <si>
    <t>Mz D casa 14</t>
  </si>
  <si>
    <t xml:space="preserve">Albania </t>
  </si>
  <si>
    <t>barbara</t>
  </si>
  <si>
    <t>Caja x6</t>
  </si>
  <si>
    <t>Caja x2</t>
  </si>
  <si>
    <t>REFERENCIA</t>
  </si>
  <si>
    <t>surtido</t>
  </si>
  <si>
    <t xml:space="preserve">4 de café, 2 de chocolate oreo </t>
  </si>
  <si>
    <t>Sebas</t>
  </si>
  <si>
    <t>caja x6</t>
  </si>
  <si>
    <t>Laura Carvajal</t>
  </si>
  <si>
    <t>Mz 8 casa 27</t>
  </si>
  <si>
    <t>Calatayud</t>
  </si>
  <si>
    <t>Cristina</t>
  </si>
  <si>
    <t>caja x2</t>
  </si>
  <si>
    <t>Mz A casa 11</t>
  </si>
  <si>
    <t>Albania 2</t>
  </si>
  <si>
    <t xml:space="preserve">sirtido </t>
  </si>
  <si>
    <t xml:space="preserve">Angel </t>
  </si>
  <si>
    <t>x1</t>
  </si>
  <si>
    <t>Total cuocakes</t>
  </si>
  <si>
    <t>cajas x2</t>
  </si>
  <si>
    <t>cajas x6</t>
  </si>
  <si>
    <t>caja x1</t>
  </si>
  <si>
    <t>Pre mezcla</t>
  </si>
  <si>
    <t>vainilla</t>
  </si>
  <si>
    <t>Margarina</t>
  </si>
  <si>
    <t>oreos</t>
  </si>
  <si>
    <t xml:space="preserve">SABADO 10 DE JUNIO </t>
  </si>
  <si>
    <t xml:space="preserve">Premezcla </t>
  </si>
  <si>
    <t xml:space="preserve">capacillo </t>
  </si>
  <si>
    <t>CREMA</t>
  </si>
  <si>
    <t>Mantequilla</t>
  </si>
  <si>
    <t>RECETA</t>
  </si>
  <si>
    <t>CANTIDADES</t>
  </si>
  <si>
    <t>UNIDADES</t>
  </si>
  <si>
    <t>G</t>
  </si>
  <si>
    <t>U</t>
  </si>
  <si>
    <t>ML</t>
  </si>
  <si>
    <t>Leche</t>
  </si>
  <si>
    <t xml:space="preserve">VALOR </t>
  </si>
  <si>
    <t>X1</t>
  </si>
  <si>
    <t>X2</t>
  </si>
  <si>
    <t>X6</t>
  </si>
  <si>
    <t>X12</t>
  </si>
  <si>
    <t>VALOR POR CANTIDAD</t>
  </si>
  <si>
    <t>mantequilla</t>
  </si>
  <si>
    <t>azucar</t>
  </si>
  <si>
    <t>pagos</t>
  </si>
  <si>
    <t xml:space="preserve">SABADO 24 DE JUNIO </t>
  </si>
  <si>
    <t>Carolina</t>
  </si>
  <si>
    <t>1 caja</t>
  </si>
  <si>
    <t>Calle 22 #12-49</t>
  </si>
  <si>
    <t>Ricaurte</t>
  </si>
  <si>
    <t>Carlos</t>
  </si>
  <si>
    <t>Surtido</t>
  </si>
  <si>
    <t>Lorena Campos</t>
  </si>
  <si>
    <t>Calle 28 4C-75</t>
  </si>
  <si>
    <t>hipódromo</t>
  </si>
  <si>
    <t>vainilla con oreo</t>
  </si>
  <si>
    <t>Surtudo</t>
  </si>
  <si>
    <t>yurani</t>
  </si>
  <si>
    <t>1 Caja</t>
  </si>
  <si>
    <t>Pasa a recogerlos</t>
  </si>
  <si>
    <t>314 5211685</t>
  </si>
  <si>
    <t>318 7315618</t>
  </si>
  <si>
    <t>313 3486478</t>
  </si>
  <si>
    <t>314 3462647</t>
  </si>
  <si>
    <t>#</t>
  </si>
  <si>
    <t>Caja X1</t>
  </si>
  <si>
    <t>Caja X6</t>
  </si>
  <si>
    <t>Total Cajas</t>
  </si>
  <si>
    <t>X</t>
  </si>
  <si>
    <t>Nequi</t>
  </si>
  <si>
    <t>Bancolombia</t>
  </si>
  <si>
    <t>Daviplata</t>
  </si>
  <si>
    <t>Efectivo</t>
  </si>
  <si>
    <t xml:space="preserve">Luisa sanchez </t>
  </si>
  <si>
    <t>Vainilla y chocolate</t>
  </si>
  <si>
    <t>Jennifer fuelpaz</t>
  </si>
  <si>
    <t>manzana b casa 19</t>
  </si>
  <si>
    <t>villa claudia</t>
  </si>
  <si>
    <t>Barabar</t>
  </si>
  <si>
    <t>Sebastian</t>
  </si>
  <si>
    <t>Café</t>
  </si>
  <si>
    <t xml:space="preserve">De dulce </t>
  </si>
  <si>
    <t xml:space="preserve">Insumos </t>
  </si>
  <si>
    <t>Gasolina</t>
  </si>
  <si>
    <t>saldo</t>
  </si>
  <si>
    <t>Ganancia total</t>
  </si>
  <si>
    <t>Beneficio 20%</t>
  </si>
  <si>
    <t xml:space="preserve">Horas laboradas </t>
  </si>
  <si>
    <t>Beneficio total</t>
  </si>
  <si>
    <t>Sobrante</t>
  </si>
  <si>
    <t>MUSS DE FRESA</t>
  </si>
  <si>
    <t>Crema de leche</t>
  </si>
  <si>
    <t>Galletas</t>
  </si>
  <si>
    <t>Fresas</t>
  </si>
  <si>
    <t>Para 10 porciones</t>
  </si>
  <si>
    <t>Precio receta</t>
  </si>
  <si>
    <t>Talla M</t>
  </si>
  <si>
    <t>Triangular</t>
  </si>
  <si>
    <t>Talla S</t>
  </si>
  <si>
    <t>X10</t>
  </si>
  <si>
    <t>8 Onz</t>
  </si>
  <si>
    <t>MUSS DE MARACUYA</t>
  </si>
  <si>
    <t>Maracuya</t>
  </si>
  <si>
    <t>MUSS DE LIMON</t>
  </si>
  <si>
    <t>Limon</t>
  </si>
  <si>
    <t>MUSS DE MANGO</t>
  </si>
  <si>
    <t>Cocoa en polvo</t>
  </si>
  <si>
    <t>Maizena</t>
  </si>
  <si>
    <t>azucar blanca</t>
  </si>
  <si>
    <t>SABADO 08 DE JULIO</t>
  </si>
  <si>
    <t>Color rojo</t>
  </si>
  <si>
    <t xml:space="preserve">Chocolate con oreo </t>
  </si>
  <si>
    <t>Tio Sergio</t>
  </si>
  <si>
    <t>No</t>
  </si>
  <si>
    <t>Postre de durazno</t>
  </si>
  <si>
    <t>TAMAÑO</t>
  </si>
  <si>
    <t>Grande</t>
  </si>
  <si>
    <t>Bajarle dulce, vainilla</t>
  </si>
  <si>
    <t>Kathe</t>
  </si>
  <si>
    <t>Postre de maracuya</t>
  </si>
  <si>
    <t>Pequeños</t>
  </si>
  <si>
    <t>Luis</t>
  </si>
  <si>
    <t>Grandre</t>
  </si>
  <si>
    <t>Angel</t>
  </si>
  <si>
    <t>Caja x1</t>
  </si>
  <si>
    <t>Rafael</t>
  </si>
  <si>
    <t xml:space="preserve">Mz 30 casa 4 etapa 1 </t>
  </si>
  <si>
    <t>Villa café</t>
  </si>
  <si>
    <t>Caja x 6</t>
  </si>
  <si>
    <t>Camilo U</t>
  </si>
  <si>
    <t>Cra 6 sur #72-80</t>
  </si>
  <si>
    <t>bosque San angel Torre 4 apto 714</t>
  </si>
  <si>
    <t>Vainilla con oreo</t>
  </si>
  <si>
    <t>grande</t>
  </si>
  <si>
    <t>mediana</t>
  </si>
  <si>
    <t>pequeña</t>
  </si>
  <si>
    <t xml:space="preserve">Grande </t>
  </si>
  <si>
    <t>Mediano</t>
  </si>
  <si>
    <t>Pequeño</t>
  </si>
  <si>
    <t>Vasos para muestra de postres y cucharas pequeñas</t>
  </si>
  <si>
    <t>Kate</t>
  </si>
  <si>
    <t>postre de maracuya</t>
  </si>
  <si>
    <t>sebas</t>
  </si>
  <si>
    <t>postre de durazno</t>
  </si>
  <si>
    <t>Chocolate</t>
  </si>
  <si>
    <t>JenniFer</t>
  </si>
  <si>
    <t xml:space="preserve">Total </t>
  </si>
  <si>
    <t>x4</t>
  </si>
  <si>
    <t xml:space="preserve">mezcla de torta </t>
  </si>
  <si>
    <t>$</t>
  </si>
  <si>
    <t>crema 2000</t>
  </si>
  <si>
    <t>azucar en polvo</t>
  </si>
  <si>
    <t>quesocrema</t>
  </si>
  <si>
    <t>cacao en polvo</t>
  </si>
  <si>
    <t>ACEITE Xmil</t>
  </si>
  <si>
    <t>AGUA X ml</t>
  </si>
  <si>
    <t>COBERTURA</t>
  </si>
  <si>
    <t>Toltal</t>
  </si>
  <si>
    <t>16 - 20 personas</t>
  </si>
  <si>
    <t xml:space="preserve">Cantidad necesaria de crema </t>
  </si>
  <si>
    <t xml:space="preserve">30 - 35 porciones|26 cm de diametro </t>
  </si>
  <si>
    <t xml:space="preserve">16 - 20 personas| 21 cm de diametro </t>
  </si>
  <si>
    <t xml:space="preserve">RECETA GENERAL DE LA CREMA </t>
  </si>
  <si>
    <t>claras de huevo</t>
  </si>
  <si>
    <t>azucar granulada</t>
  </si>
  <si>
    <t>peso (g) claras</t>
  </si>
  <si>
    <t xml:space="preserve">unidades </t>
  </si>
  <si>
    <t>huevo</t>
  </si>
  <si>
    <t>1/2 LB</t>
  </si>
  <si>
    <t>1 LB</t>
  </si>
  <si>
    <t>1 1/2 LB</t>
  </si>
  <si>
    <t>premezcla</t>
  </si>
  <si>
    <t>margarina</t>
  </si>
  <si>
    <t>Azucar en polvo</t>
  </si>
  <si>
    <t xml:space="preserve">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</si>
</sst>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[$$-240A]\ * #,##0_-;\-[$$-240A]\ * #,##0_-;_-[$$-240A]\ * &quot;-&quot;??_-;_-@_-"/>
    <numFmt numFmtId="165" formatCode="_-[$$-240A]\ * #,##0.00_-;\-[$$-240A]\ * #,##0.00_-;_-[$$-240A]\ 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64" fontId="0" fillId="0" borderId="1" xfId="1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0" borderId="15" xfId="0" applyBorder="1" applyAlignment="1">
      <alignment horizontal="center"/>
    </xf>
    <xf numFmtId="0" fontId="0" fillId="0" borderId="14" xfId="0" applyBorder="1"/>
    <xf numFmtId="164" fontId="0" fillId="0" borderId="5" xfId="0" applyNumberFormat="1" applyBorder="1"/>
    <xf numFmtId="0" fontId="0" fillId="0" borderId="1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44" fontId="0" fillId="0" borderId="1" xfId="1" applyFont="1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6" fontId="0" fillId="0" borderId="0" xfId="1" applyNumberFormat="1" applyFont="1" applyBorder="1"/>
    <xf numFmtId="166" fontId="0" fillId="0" borderId="1" xfId="0" applyNumberFormat="1" applyBorder="1"/>
    <xf numFmtId="164" fontId="0" fillId="0" borderId="17" xfId="1" applyNumberFormat="1" applyFont="1" applyBorder="1"/>
    <xf numFmtId="164" fontId="0" fillId="0" borderId="17" xfId="0" applyNumberForma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0" xfId="0" applyBorder="1"/>
    <xf numFmtId="164" fontId="0" fillId="0" borderId="20" xfId="1" applyNumberFormat="1" applyFont="1" applyBorder="1"/>
    <xf numFmtId="0" fontId="0" fillId="0" borderId="4" xfId="0" applyBorder="1"/>
    <xf numFmtId="164" fontId="0" fillId="0" borderId="20" xfId="0" applyNumberFormat="1" applyBorder="1"/>
    <xf numFmtId="166" fontId="0" fillId="0" borderId="10" xfId="1" applyNumberFormat="1" applyFont="1" applyBorder="1"/>
    <xf numFmtId="164" fontId="0" fillId="0" borderId="19" xfId="0" applyNumberFormat="1" applyBorder="1"/>
    <xf numFmtId="0" fontId="0" fillId="0" borderId="17" xfId="0" applyBorder="1"/>
    <xf numFmtId="0" fontId="0" fillId="0" borderId="1" xfId="0" applyBorder="1" applyAlignment="1">
      <alignment horizontal="center" vertical="center"/>
    </xf>
    <xf numFmtId="164" fontId="0" fillId="0" borderId="13" xfId="0" applyNumberFormat="1" applyBorder="1"/>
    <xf numFmtId="9" fontId="0" fillId="0" borderId="1" xfId="0" applyNumberFormat="1" applyBorder="1" applyAlignment="1">
      <alignment horizontal="right" wrapText="1"/>
    </xf>
    <xf numFmtId="0" fontId="2" fillId="0" borderId="13" xfId="0" applyFont="1" applyBorder="1"/>
    <xf numFmtId="0" fontId="2" fillId="0" borderId="14" xfId="0" applyFont="1" applyBorder="1"/>
    <xf numFmtId="164" fontId="0" fillId="5" borderId="10" xfId="0" applyNumberFormat="1" applyFill="1" applyBorder="1"/>
    <xf numFmtId="166" fontId="0" fillId="5" borderId="1" xfId="1" applyNumberFormat="1" applyFont="1" applyFill="1" applyBorder="1"/>
    <xf numFmtId="166" fontId="0" fillId="5" borderId="11" xfId="0" applyNumberFormat="1" applyFill="1" applyBorder="1"/>
    <xf numFmtId="164" fontId="0" fillId="5" borderId="19" xfId="0" applyNumberFormat="1" applyFill="1" applyBorder="1"/>
    <xf numFmtId="166" fontId="0" fillId="5" borderId="1" xfId="0" applyNumberFormat="1" applyFill="1" applyBorder="1"/>
    <xf numFmtId="0" fontId="2" fillId="2" borderId="1" xfId="0" applyFont="1" applyFill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3" fillId="0" borderId="0" xfId="0" applyFont="1"/>
    <xf numFmtId="166" fontId="0" fillId="0" borderId="0" xfId="1" applyNumberFormat="1" applyFont="1"/>
    <xf numFmtId="166" fontId="0" fillId="0" borderId="0" xfId="0" applyNumberFormat="1"/>
    <xf numFmtId="0" fontId="0" fillId="0" borderId="12" xfId="0" applyBorder="1"/>
    <xf numFmtId="164" fontId="0" fillId="5" borderId="1" xfId="0" applyNumberFormat="1" applyFill="1" applyBorder="1"/>
    <xf numFmtId="0" fontId="2" fillId="2" borderId="10" xfId="0" applyFon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1" xfId="0" applyBorder="1"/>
    <xf numFmtId="166" fontId="0" fillId="0" borderId="11" xfId="0" applyNumberFormat="1" applyBorder="1"/>
    <xf numFmtId="166" fontId="0" fillId="0" borderId="1" xfId="1" applyNumberFormat="1" applyFont="1" applyBorder="1" applyAlignment="1"/>
    <xf numFmtId="0" fontId="0" fillId="0" borderId="1" xfId="0" applyBorder="1" applyAlignment="1">
      <alignment horizontal="right" vertical="center"/>
    </xf>
    <xf numFmtId="166" fontId="5" fillId="0" borderId="1" xfId="0" applyNumberFormat="1" applyFont="1" applyBorder="1"/>
    <xf numFmtId="166" fontId="5" fillId="0" borderId="1" xfId="1" applyNumberFormat="1" applyFont="1" applyBorder="1"/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164" fontId="0" fillId="0" borderId="7" xfId="1" applyNumberFormat="1" applyFont="1" applyBorder="1"/>
    <xf numFmtId="164" fontId="0" fillId="0" borderId="13" xfId="1" applyNumberFormat="1" applyFont="1" applyBorder="1"/>
    <xf numFmtId="0" fontId="0" fillId="0" borderId="23" xfId="0" applyBorder="1"/>
    <xf numFmtId="0" fontId="0" fillId="0" borderId="24" xfId="0" applyBorder="1"/>
    <xf numFmtId="166" fontId="0" fillId="0" borderId="13" xfId="1" applyNumberFormat="1" applyFont="1" applyBorder="1"/>
    <xf numFmtId="165" fontId="0" fillId="6" borderId="1" xfId="1" applyNumberFormat="1" applyFont="1" applyFill="1" applyBorder="1"/>
    <xf numFmtId="0" fontId="0" fillId="0" borderId="27" xfId="0" applyBorder="1"/>
    <xf numFmtId="165" fontId="0" fillId="6" borderId="10" xfId="1" applyNumberFormat="1" applyFont="1" applyFill="1" applyBorder="1"/>
    <xf numFmtId="0" fontId="0" fillId="0" borderId="25" xfId="0" applyBorder="1"/>
    <xf numFmtId="0" fontId="0" fillId="0" borderId="28" xfId="0" applyBorder="1"/>
    <xf numFmtId="164" fontId="0" fillId="0" borderId="11" xfId="0" applyNumberFormat="1" applyBorder="1"/>
    <xf numFmtId="166" fontId="0" fillId="0" borderId="2" xfId="1" applyNumberFormat="1" applyFont="1" applyBorder="1"/>
    <xf numFmtId="166" fontId="0" fillId="0" borderId="1" xfId="1" applyNumberFormat="1" applyFont="1" applyFill="1" applyBorder="1"/>
    <xf numFmtId="2" fontId="0" fillId="0" borderId="1" xfId="0" applyNumberFormat="1" applyBorder="1"/>
    <xf numFmtId="164" fontId="0" fillId="0" borderId="15" xfId="0" applyNumberFormat="1" applyBorder="1" applyAlignment="1">
      <alignment horizontal="center"/>
    </xf>
    <xf numFmtId="166" fontId="0" fillId="0" borderId="23" xfId="1" applyNumberFormat="1" applyFont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0" borderId="30" xfId="0" applyBorder="1"/>
    <xf numFmtId="0" fontId="0" fillId="0" borderId="30" xfId="0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7" borderId="30" xfId="0" applyFill="1" applyBorder="1"/>
    <xf numFmtId="166" fontId="0" fillId="7" borderId="30" xfId="1" applyNumberFormat="1" applyFont="1" applyFill="1" applyBorder="1" applyAlignment="1"/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166" fontId="0" fillId="7" borderId="1" xfId="1" applyNumberFormat="1" applyFont="1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166" fontId="0" fillId="8" borderId="1" xfId="1" applyNumberFormat="1" applyFont="1" applyFill="1" applyBorder="1"/>
    <xf numFmtId="0" fontId="0" fillId="8" borderId="10" xfId="0" applyFill="1" applyBorder="1"/>
    <xf numFmtId="0" fontId="0" fillId="8" borderId="30" xfId="0" applyFill="1" applyBorder="1"/>
    <xf numFmtId="166" fontId="0" fillId="8" borderId="10" xfId="1" applyNumberFormat="1" applyFont="1" applyFill="1" applyBorder="1" applyAlignment="1"/>
    <xf numFmtId="166" fontId="0" fillId="8" borderId="30" xfId="1" applyNumberFormat="1" applyFont="1" applyFill="1" applyBorder="1" applyAlignment="1"/>
    <xf numFmtId="166" fontId="0" fillId="0" borderId="1" xfId="1" applyNumberFormat="1" applyFont="1" applyFill="1" applyBorder="1" applyAlignment="1"/>
    <xf numFmtId="167" fontId="0" fillId="0" borderId="0" xfId="1" applyNumberFormat="1" applyFont="1"/>
    <xf numFmtId="0" fontId="0" fillId="9" borderId="1" xfId="0" applyFill="1" applyBorder="1"/>
    <xf numFmtId="166" fontId="0" fillId="0" borderId="17" xfId="1" applyNumberFormat="1" applyFont="1" applyBorder="1"/>
    <xf numFmtId="166" fontId="0" fillId="0" borderId="17" xfId="0" applyNumberFormat="1" applyBorder="1"/>
    <xf numFmtId="166" fontId="0" fillId="0" borderId="13" xfId="0" applyNumberFormat="1" applyBorder="1"/>
    <xf numFmtId="3" fontId="0" fillId="0" borderId="0" xfId="0" applyNumberFormat="1"/>
    <xf numFmtId="12" fontId="0" fillId="0" borderId="1" xfId="0" applyNumberFormat="1" applyBorder="1"/>
    <xf numFmtId="0" fontId="0" fillId="0" borderId="1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3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8" borderId="1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FF9B9B"/>
      <color rgb="FF9148C8"/>
      <color rgb="FFC4A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D2A3358-0F8D-6233-20D1-6DECEFCD9386}"/>
            </a:ext>
          </a:extLst>
        </xdr:cNvPr>
        <xdr:cNvSpPr>
          <a:spLocks noChangeAspect="1" noChangeArrowheads="1"/>
        </xdr:cNvSpPr>
      </xdr:nvSpPr>
      <xdr:spPr bwMode="auto">
        <a:xfrm>
          <a:off x="76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352425</xdr:colOff>
      <xdr:row>0</xdr:row>
      <xdr:rowOff>200025</xdr:rowOff>
    </xdr:from>
    <xdr:to>
      <xdr:col>3</xdr:col>
      <xdr:colOff>485775</xdr:colOff>
      <xdr:row>9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192824-0B9E-53FB-1EAE-9647B2AC70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15019" r="33592" b="33525"/>
        <a:stretch/>
      </xdr:blipFill>
      <xdr:spPr>
        <a:xfrm>
          <a:off x="352425" y="200025"/>
          <a:ext cx="3067050" cy="1762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133350</xdr:rowOff>
    </xdr:from>
    <xdr:to>
      <xdr:col>4</xdr:col>
      <xdr:colOff>47625</xdr:colOff>
      <xdr:row>9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521BD8-A700-428F-8A5D-D435B8269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15019" r="33592" b="33525"/>
        <a:stretch/>
      </xdr:blipFill>
      <xdr:spPr>
        <a:xfrm>
          <a:off x="247650" y="133350"/>
          <a:ext cx="3067050" cy="1762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47625</xdr:rowOff>
    </xdr:from>
    <xdr:to>
      <xdr:col>4</xdr:col>
      <xdr:colOff>552450</xdr:colOff>
      <xdr:row>9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6BB24-1084-4923-B1A5-9EB459EF3E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15019" r="33592" b="33525"/>
        <a:stretch/>
      </xdr:blipFill>
      <xdr:spPr>
        <a:xfrm>
          <a:off x="361950" y="47625"/>
          <a:ext cx="3067050" cy="1762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171450</xdr:rowOff>
    </xdr:from>
    <xdr:to>
      <xdr:col>3</xdr:col>
      <xdr:colOff>638175</xdr:colOff>
      <xdr:row>9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025E50-9519-4113-8F07-1D69F7B599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15019" r="33592" b="33525"/>
        <a:stretch/>
      </xdr:blipFill>
      <xdr:spPr>
        <a:xfrm>
          <a:off x="285750" y="171450"/>
          <a:ext cx="3067050" cy="17621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33</xdr:row>
      <xdr:rowOff>95250</xdr:rowOff>
    </xdr:from>
    <xdr:to>
      <xdr:col>3</xdr:col>
      <xdr:colOff>695785</xdr:colOff>
      <xdr:row>40</xdr:row>
      <xdr:rowOff>152602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597BE-CE85-504B-1062-925CB7421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6781800"/>
          <a:ext cx="3296110" cy="14480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142875</xdr:rowOff>
    </xdr:from>
    <xdr:to>
      <xdr:col>4</xdr:col>
      <xdr:colOff>28575</xdr:colOff>
      <xdr:row>9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1BBB8B-1F22-462B-8798-C5394C00DE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44" t="15019" r="33592" b="33525"/>
        <a:stretch/>
      </xdr:blipFill>
      <xdr:spPr>
        <a:xfrm>
          <a:off x="371475" y="142875"/>
          <a:ext cx="3067050" cy="1762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357187</xdr:colOff>
      <xdr:row>2</xdr:row>
      <xdr:rowOff>108240</xdr:rowOff>
    </xdr:from>
    <xdr:to>
      <xdr:col>45</xdr:col>
      <xdr:colOff>194828</xdr:colOff>
      <xdr:row>11</xdr:row>
      <xdr:rowOff>173754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5A4692-03B5-B06B-9B24-5ED5941A7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92897" y="508723"/>
          <a:ext cx="2110653" cy="1818980"/>
        </a:xfrm>
        <a:prstGeom prst="rect">
          <a:avLst/>
        </a:prstGeom>
      </xdr:spPr>
    </xdr:pic>
    <xdr:clientData/>
  </xdr:twoCellAnchor>
  <xdr:twoCellAnchor editAs="oneCell">
    <xdr:from>
      <xdr:col>42</xdr:col>
      <xdr:colOff>184006</xdr:colOff>
      <xdr:row>13</xdr:row>
      <xdr:rowOff>0</xdr:rowOff>
    </xdr:from>
    <xdr:to>
      <xdr:col>45</xdr:col>
      <xdr:colOff>530735</xdr:colOff>
      <xdr:row>24</xdr:row>
      <xdr:rowOff>38404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5C243-E01F-57D4-544B-F9ED0A115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19716" y="2543608"/>
          <a:ext cx="2619741" cy="2181529"/>
        </a:xfrm>
        <a:prstGeom prst="rect">
          <a:avLst/>
        </a:prstGeom>
      </xdr:spPr>
    </xdr:pic>
    <xdr:clientData/>
  </xdr:twoCellAnchor>
  <xdr:twoCellAnchor editAs="oneCell">
    <xdr:from>
      <xdr:col>42</xdr:col>
      <xdr:colOff>303067</xdr:colOff>
      <xdr:row>25</xdr:row>
      <xdr:rowOff>119063</xdr:rowOff>
    </xdr:from>
    <xdr:to>
      <xdr:col>45</xdr:col>
      <xdr:colOff>432953</xdr:colOff>
      <xdr:row>36</xdr:row>
      <xdr:rowOff>81229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148D06-4414-029E-A9DF-F87F3287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38777" y="5000626"/>
          <a:ext cx="2402898" cy="2105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B45-C183-4146-9198-B0043AE538C9}">
  <dimension ref="A1:T45"/>
  <sheetViews>
    <sheetView topLeftCell="A34" workbookViewId="0">
      <selection activeCell="C37" sqref="C37"/>
    </sheetView>
  </sheetViews>
  <sheetFormatPr baseColWidth="10" defaultRowHeight="15" x14ac:dyDescent="0.25"/>
  <cols>
    <col min="1" max="1" width="19.5703125" customWidth="1"/>
    <col min="2" max="2" width="13" customWidth="1"/>
  </cols>
  <sheetData>
    <row r="1" spans="1:14" ht="16.5" thickTop="1" thickBot="1" x14ac:dyDescent="0.3">
      <c r="A1" s="117"/>
      <c r="B1" s="117"/>
      <c r="C1" s="117"/>
      <c r="D1" s="117"/>
      <c r="E1" s="117"/>
    </row>
    <row r="2" spans="1:14" ht="16.5" thickTop="1" thickBot="1" x14ac:dyDescent="0.3">
      <c r="A2" s="117"/>
      <c r="B2" s="117"/>
      <c r="C2" s="117"/>
      <c r="D2" s="117"/>
      <c r="E2" s="117"/>
    </row>
    <row r="3" spans="1:14" ht="16.5" thickTop="1" thickBot="1" x14ac:dyDescent="0.3">
      <c r="A3" s="117"/>
      <c r="B3" s="117"/>
      <c r="C3" s="117"/>
      <c r="D3" s="117"/>
      <c r="E3" s="117"/>
    </row>
    <row r="4" spans="1:14" ht="16.5" thickTop="1" thickBot="1" x14ac:dyDescent="0.3">
      <c r="A4" s="117"/>
      <c r="B4" s="117"/>
      <c r="C4" s="117"/>
      <c r="D4" s="117"/>
      <c r="E4" s="117"/>
    </row>
    <row r="5" spans="1:14" ht="16.5" thickTop="1" thickBot="1" x14ac:dyDescent="0.3">
      <c r="A5" s="117"/>
      <c r="B5" s="117"/>
      <c r="C5" s="117"/>
      <c r="D5" s="117"/>
      <c r="E5" s="117"/>
    </row>
    <row r="6" spans="1:14" ht="16.5" thickTop="1" thickBot="1" x14ac:dyDescent="0.3">
      <c r="A6" s="117"/>
      <c r="B6" s="117"/>
      <c r="C6" s="117"/>
      <c r="D6" s="117"/>
      <c r="E6" s="117"/>
    </row>
    <row r="7" spans="1:14" ht="16.5" thickTop="1" thickBot="1" x14ac:dyDescent="0.3">
      <c r="A7" s="117"/>
      <c r="B7" s="117"/>
      <c r="C7" s="117"/>
      <c r="D7" s="117"/>
      <c r="E7" s="117"/>
    </row>
    <row r="8" spans="1:14" ht="16.5" thickTop="1" thickBot="1" x14ac:dyDescent="0.3">
      <c r="A8" s="117"/>
      <c r="B8" s="117"/>
      <c r="C8" s="117"/>
      <c r="D8" s="117"/>
      <c r="E8" s="117"/>
    </row>
    <row r="9" spans="1:14" ht="16.5" thickTop="1" thickBot="1" x14ac:dyDescent="0.3">
      <c r="A9" s="117"/>
      <c r="B9" s="117"/>
      <c r="C9" s="117"/>
      <c r="D9" s="117"/>
      <c r="E9" s="117"/>
    </row>
    <row r="10" spans="1:14" ht="16.5" thickTop="1" thickBot="1" x14ac:dyDescent="0.3">
      <c r="A10" s="117"/>
      <c r="B10" s="117"/>
      <c r="C10" s="117"/>
      <c r="D10" s="117"/>
      <c r="E10" s="117"/>
    </row>
    <row r="11" spans="1:14" ht="16.5" thickTop="1" thickBot="1" x14ac:dyDescent="0.3">
      <c r="A11" s="117"/>
      <c r="B11" s="117"/>
      <c r="C11" s="117"/>
      <c r="D11" s="117"/>
      <c r="E11" s="117"/>
    </row>
    <row r="12" spans="1:14" ht="15.75" thickTop="1" x14ac:dyDescent="0.25"/>
    <row r="13" spans="1:14" ht="15.75" thickBot="1" x14ac:dyDescent="0.3">
      <c r="A13" s="56" t="s">
        <v>45</v>
      </c>
    </row>
    <row r="14" spans="1:14" ht="15.75" thickBot="1" x14ac:dyDescent="0.3">
      <c r="A14" s="22" t="s">
        <v>13</v>
      </c>
      <c r="B14" s="22" t="s">
        <v>108</v>
      </c>
      <c r="C14" s="22" t="s">
        <v>109</v>
      </c>
      <c r="D14" s="22" t="s">
        <v>65</v>
      </c>
      <c r="F14" s="118" t="s">
        <v>107</v>
      </c>
      <c r="G14" s="119"/>
      <c r="H14" s="120"/>
      <c r="J14" s="121" t="s">
        <v>58</v>
      </c>
      <c r="K14" s="121"/>
      <c r="L14" s="121"/>
      <c r="M14" s="121"/>
      <c r="N14" s="121"/>
    </row>
    <row r="15" spans="1:14" ht="15.75" thickBot="1" x14ac:dyDescent="0.3">
      <c r="A15" s="111" t="s">
        <v>103</v>
      </c>
      <c r="B15" s="1">
        <v>500</v>
      </c>
      <c r="C15" s="1" t="s">
        <v>8</v>
      </c>
      <c r="D15" s="28">
        <v>8600</v>
      </c>
      <c r="E15" s="61">
        <f>+D15/B15</f>
        <v>17.2</v>
      </c>
      <c r="F15" s="1">
        <v>500</v>
      </c>
      <c r="G15" s="1" t="s">
        <v>110</v>
      </c>
      <c r="H15" s="28">
        <f>+D15</f>
        <v>8600</v>
      </c>
      <c r="J15" s="121"/>
      <c r="K15" s="121"/>
      <c r="L15" s="121"/>
      <c r="M15" s="121"/>
      <c r="N15" s="121"/>
    </row>
    <row r="16" spans="1:14" ht="15.75" thickBot="1" x14ac:dyDescent="0.3">
      <c r="A16" s="111" t="s">
        <v>100</v>
      </c>
      <c r="B16" s="1">
        <v>500</v>
      </c>
      <c r="C16" s="1" t="s">
        <v>8</v>
      </c>
      <c r="D16" s="28">
        <v>4200</v>
      </c>
      <c r="E16" s="61">
        <f>+D16/B16</f>
        <v>8.4</v>
      </c>
      <c r="F16" s="1">
        <v>150</v>
      </c>
      <c r="G16" s="1" t="s">
        <v>110</v>
      </c>
      <c r="H16" s="28">
        <f>+F16*E16</f>
        <v>1260</v>
      </c>
      <c r="J16" s="1" t="s">
        <v>16</v>
      </c>
      <c r="K16" s="1">
        <v>3</v>
      </c>
      <c r="L16" s="1" t="s">
        <v>20</v>
      </c>
      <c r="M16" s="44"/>
      <c r="N16" s="7">
        <f>+M16*K16</f>
        <v>0</v>
      </c>
    </row>
    <row r="17" spans="1:17" ht="15.75" thickBot="1" x14ac:dyDescent="0.3">
      <c r="A17" s="1" t="s">
        <v>37</v>
      </c>
      <c r="B17" s="55" t="s">
        <v>42</v>
      </c>
      <c r="C17" s="1" t="s">
        <v>12</v>
      </c>
      <c r="D17" s="28">
        <v>650</v>
      </c>
      <c r="E17" s="61"/>
      <c r="F17" s="1">
        <v>5</v>
      </c>
      <c r="G17" s="1" t="s">
        <v>111</v>
      </c>
      <c r="H17" s="28">
        <f>+F17*D17</f>
        <v>3250</v>
      </c>
      <c r="J17" s="1" t="s">
        <v>17</v>
      </c>
      <c r="K17" s="1">
        <v>2</v>
      </c>
      <c r="L17" s="1" t="s">
        <v>18</v>
      </c>
      <c r="M17" s="44">
        <v>2744</v>
      </c>
      <c r="N17" s="7">
        <f>+M17*K17</f>
        <v>5488</v>
      </c>
    </row>
    <row r="18" spans="1:17" ht="15.75" thickBot="1" x14ac:dyDescent="0.3">
      <c r="A18" s="1" t="s">
        <v>40</v>
      </c>
      <c r="B18" s="1">
        <v>6000</v>
      </c>
      <c r="C18" s="1" t="s">
        <v>11</v>
      </c>
      <c r="D18" s="28">
        <v>2700</v>
      </c>
      <c r="E18" s="61">
        <f>+D18/B18</f>
        <v>0.45</v>
      </c>
      <c r="F18" s="1">
        <v>100</v>
      </c>
      <c r="G18" s="1" t="s">
        <v>112</v>
      </c>
      <c r="H18" s="28">
        <f>+F18*E18</f>
        <v>45</v>
      </c>
      <c r="J18" s="1" t="s">
        <v>19</v>
      </c>
      <c r="K18" s="1">
        <v>2</v>
      </c>
      <c r="L18" s="1" t="s">
        <v>20</v>
      </c>
      <c r="M18" s="44">
        <v>2744</v>
      </c>
      <c r="N18" s="7">
        <f>+M18*K18</f>
        <v>5488</v>
      </c>
    </row>
    <row r="19" spans="1:17" ht="15.75" thickBot="1" x14ac:dyDescent="0.3">
      <c r="A19" s="111" t="s">
        <v>104</v>
      </c>
      <c r="B19" s="1">
        <v>20</v>
      </c>
      <c r="C19" s="1" t="s">
        <v>12</v>
      </c>
      <c r="D19" s="28">
        <v>1000</v>
      </c>
      <c r="E19" s="61">
        <f>+D19/B19</f>
        <v>50</v>
      </c>
      <c r="F19" s="1"/>
      <c r="G19" s="1"/>
      <c r="H19" s="26"/>
      <c r="J19" s="118" t="s">
        <v>44</v>
      </c>
      <c r="K19" s="119"/>
      <c r="L19" s="119"/>
      <c r="M19" s="120"/>
      <c r="N19" s="62"/>
    </row>
    <row r="20" spans="1:17" x14ac:dyDescent="0.25">
      <c r="D20" s="60">
        <f>+SUM(D15:D19)</f>
        <v>17150</v>
      </c>
      <c r="H20" s="60">
        <f>+SUM(H15:H19)</f>
        <v>13155</v>
      </c>
    </row>
    <row r="21" spans="1:17" ht="15.75" thickBot="1" x14ac:dyDescent="0.3"/>
    <row r="22" spans="1:17" ht="15.75" thickBot="1" x14ac:dyDescent="0.3">
      <c r="J22" s="122" t="s">
        <v>23</v>
      </c>
      <c r="K22" s="122"/>
      <c r="L22" s="10">
        <v>0.2</v>
      </c>
      <c r="N22" s="123" t="s">
        <v>22</v>
      </c>
      <c r="O22" s="123"/>
      <c r="P22" s="123"/>
      <c r="Q22" s="9">
        <v>4833</v>
      </c>
    </row>
    <row r="24" spans="1:17" ht="15.75" thickBot="1" x14ac:dyDescent="0.3"/>
    <row r="25" spans="1:17" ht="15.75" thickBot="1" x14ac:dyDescent="0.3">
      <c r="A25" s="56" t="s">
        <v>105</v>
      </c>
      <c r="J25" s="124" t="s">
        <v>21</v>
      </c>
      <c r="K25" s="125"/>
      <c r="L25" s="1">
        <v>3</v>
      </c>
      <c r="N25" s="122" t="s">
        <v>24</v>
      </c>
      <c r="O25" s="122"/>
      <c r="P25" s="10">
        <v>0.02</v>
      </c>
    </row>
    <row r="26" spans="1:17" ht="15.75" thickBot="1" x14ac:dyDescent="0.3">
      <c r="A26" s="22" t="s">
        <v>13</v>
      </c>
      <c r="B26" s="22" t="s">
        <v>108</v>
      </c>
      <c r="C26" s="22" t="s">
        <v>109</v>
      </c>
      <c r="D26" s="22" t="s">
        <v>65</v>
      </c>
      <c r="F26" s="118" t="s">
        <v>107</v>
      </c>
      <c r="G26" s="119"/>
      <c r="H26" s="120"/>
    </row>
    <row r="27" spans="1:17" ht="15.75" thickBot="1" x14ac:dyDescent="0.3">
      <c r="A27" s="111" t="s">
        <v>50</v>
      </c>
      <c r="B27" s="1">
        <v>250</v>
      </c>
      <c r="C27" s="1" t="s">
        <v>8</v>
      </c>
      <c r="D27" s="28"/>
      <c r="E27">
        <f>+D27/B27</f>
        <v>0</v>
      </c>
      <c r="F27" s="1">
        <v>200</v>
      </c>
      <c r="G27" s="1" t="s">
        <v>8</v>
      </c>
      <c r="H27" s="28">
        <f>+D27</f>
        <v>0</v>
      </c>
    </row>
    <row r="28" spans="1:17" ht="15.75" thickBot="1" x14ac:dyDescent="0.3">
      <c r="A28" s="111" t="s">
        <v>48</v>
      </c>
      <c r="B28" s="1">
        <v>500</v>
      </c>
      <c r="C28" s="1" t="s">
        <v>8</v>
      </c>
      <c r="D28" s="28">
        <v>3700</v>
      </c>
      <c r="E28">
        <f>+D28/B28</f>
        <v>7.4</v>
      </c>
      <c r="F28" s="1">
        <v>300</v>
      </c>
      <c r="G28" s="1" t="s">
        <v>8</v>
      </c>
      <c r="H28" s="28">
        <f>+F28*E28</f>
        <v>2220</v>
      </c>
      <c r="K28">
        <f>7*12</f>
        <v>84</v>
      </c>
    </row>
    <row r="29" spans="1:17" ht="15.75" thickBot="1" x14ac:dyDescent="0.3">
      <c r="A29" s="111" t="s">
        <v>230</v>
      </c>
      <c r="B29" s="1">
        <v>400</v>
      </c>
      <c r="C29" s="1" t="s">
        <v>8</v>
      </c>
      <c r="D29" s="28"/>
      <c r="E29">
        <f>+D29/B29</f>
        <v>0</v>
      </c>
      <c r="F29" s="1">
        <v>22.5</v>
      </c>
      <c r="G29" s="1" t="s">
        <v>11</v>
      </c>
      <c r="H29" s="28">
        <f>+F29*E29</f>
        <v>0</v>
      </c>
    </row>
    <row r="30" spans="1:17" ht="15.75" thickBot="1" x14ac:dyDescent="0.3">
      <c r="A30" s="111" t="s">
        <v>231</v>
      </c>
      <c r="B30" s="1">
        <v>500</v>
      </c>
      <c r="C30" s="1" t="s">
        <v>8</v>
      </c>
      <c r="D30" s="28"/>
      <c r="F30" s="1">
        <v>15</v>
      </c>
      <c r="G30" s="1" t="s">
        <v>8</v>
      </c>
      <c r="H30" s="28">
        <f>+F30*E30</f>
        <v>0</v>
      </c>
    </row>
    <row r="31" spans="1:17" ht="15.75" thickBot="1" x14ac:dyDescent="0.3">
      <c r="A31" s="1"/>
      <c r="B31" s="1"/>
      <c r="C31" s="1"/>
      <c r="D31" s="28"/>
      <c r="F31" s="1"/>
      <c r="G31" s="1"/>
      <c r="H31" s="28">
        <f>+F31*E31</f>
        <v>0</v>
      </c>
    </row>
    <row r="32" spans="1:17" x14ac:dyDescent="0.25">
      <c r="D32" s="59">
        <f>+SUM(D27:D31)</f>
        <v>3700</v>
      </c>
      <c r="H32" s="59">
        <f>+SUM(H27:H31)</f>
        <v>2220</v>
      </c>
    </row>
    <row r="34" spans="2:20" ht="15.75" thickBot="1" x14ac:dyDescent="0.3"/>
    <row r="35" spans="2:20" ht="15.75" thickBot="1" x14ac:dyDescent="0.3">
      <c r="B35" s="121" t="s">
        <v>114</v>
      </c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P35" s="121" t="s">
        <v>119</v>
      </c>
      <c r="Q35" s="121"/>
      <c r="R35" s="121"/>
      <c r="S35" s="121"/>
    </row>
    <row r="36" spans="2:20" ht="15.75" thickBot="1" x14ac:dyDescent="0.3">
      <c r="B36" s="1"/>
      <c r="C36" s="22" t="s">
        <v>30</v>
      </c>
      <c r="D36" s="121" t="s">
        <v>58</v>
      </c>
      <c r="E36" s="121"/>
      <c r="F36" s="121" t="s">
        <v>29</v>
      </c>
      <c r="G36" s="121"/>
      <c r="H36" s="63"/>
      <c r="I36" s="121" t="s">
        <v>59</v>
      </c>
      <c r="J36" s="121"/>
      <c r="K36" s="121" t="s">
        <v>32</v>
      </c>
      <c r="L36" s="121"/>
      <c r="M36" s="121"/>
      <c r="N36" s="2" t="s">
        <v>33</v>
      </c>
      <c r="P36" s="1" t="s">
        <v>115</v>
      </c>
      <c r="Q36" s="1" t="s">
        <v>116</v>
      </c>
      <c r="R36" s="88" t="s">
        <v>225</v>
      </c>
      <c r="S36" s="1" t="s">
        <v>117</v>
      </c>
      <c r="T36" s="1" t="s">
        <v>118</v>
      </c>
    </row>
    <row r="37" spans="2:20" ht="15.75" thickBot="1" x14ac:dyDescent="0.3">
      <c r="B37" s="22"/>
      <c r="C37" s="7">
        <f>+H32+H20</f>
        <v>15375</v>
      </c>
      <c r="D37" s="126">
        <f>+N19</f>
        <v>0</v>
      </c>
      <c r="E37" s="125"/>
      <c r="F37" s="128">
        <f>+L25*Q22</f>
        <v>14499</v>
      </c>
      <c r="G37" s="129"/>
      <c r="H37" s="65">
        <f>+SUM(C37:G37)</f>
        <v>29874</v>
      </c>
      <c r="I37" s="128">
        <f>+L22*H37</f>
        <v>5974.8</v>
      </c>
      <c r="J37" s="129"/>
      <c r="K37" s="128">
        <f>+P25*H37</f>
        <v>597.48</v>
      </c>
      <c r="L37" s="130"/>
      <c r="M37" s="129"/>
      <c r="N37" s="7">
        <f>+SUM(H37:M37)</f>
        <v>36446.280000000006</v>
      </c>
      <c r="O37" s="59"/>
      <c r="P37" s="28">
        <f>+N37/24</f>
        <v>1518.5950000000003</v>
      </c>
      <c r="Q37" s="28">
        <f>+N37/12</f>
        <v>3037.1900000000005</v>
      </c>
      <c r="R37" s="28">
        <f>+N37/6</f>
        <v>6074.380000000001</v>
      </c>
      <c r="S37" s="28">
        <f>+N37/4</f>
        <v>9111.5700000000015</v>
      </c>
      <c r="T37" s="28">
        <f>+N37/2</f>
        <v>18223.140000000003</v>
      </c>
    </row>
    <row r="38" spans="2:20" ht="15.75" thickBot="1" x14ac:dyDescent="0.3">
      <c r="B38" s="22"/>
      <c r="C38" s="7"/>
      <c r="D38" s="126"/>
      <c r="E38" s="125"/>
      <c r="F38" s="128"/>
      <c r="G38" s="129"/>
      <c r="H38" s="65"/>
      <c r="I38" s="128"/>
      <c r="J38" s="129"/>
      <c r="K38" s="128"/>
      <c r="L38" s="130"/>
      <c r="M38" s="129"/>
      <c r="N38" s="7"/>
      <c r="P38" s="59">
        <v>5000</v>
      </c>
      <c r="Q38" s="59">
        <v>8000</v>
      </c>
      <c r="R38" s="110">
        <v>15</v>
      </c>
      <c r="S38" s="59">
        <v>22000</v>
      </c>
      <c r="T38" s="59">
        <v>44000</v>
      </c>
    </row>
    <row r="39" spans="2:20" ht="15.75" thickBot="1" x14ac:dyDescent="0.3">
      <c r="B39" s="22"/>
      <c r="C39" s="30"/>
      <c r="D39" s="126"/>
      <c r="E39" s="127"/>
      <c r="F39" s="128"/>
      <c r="G39" s="129"/>
      <c r="H39" s="64"/>
      <c r="I39" s="128"/>
      <c r="J39" s="129"/>
      <c r="K39" s="128"/>
      <c r="L39" s="130"/>
      <c r="M39" s="129"/>
      <c r="N39" s="7"/>
    </row>
    <row r="42" spans="2:20" x14ac:dyDescent="0.25">
      <c r="R42">
        <f>+S38/6</f>
        <v>3666.6666666666665</v>
      </c>
    </row>
    <row r="43" spans="2:20" x14ac:dyDescent="0.25">
      <c r="R43">
        <f>+R42*4</f>
        <v>14666.666666666666</v>
      </c>
    </row>
    <row r="44" spans="2:20" x14ac:dyDescent="0.25">
      <c r="B44" t="s">
        <v>120</v>
      </c>
      <c r="C44">
        <v>355</v>
      </c>
      <c r="D44">
        <f>+C44-250</f>
        <v>105</v>
      </c>
      <c r="L44">
        <f>80/12</f>
        <v>6.666666666666667</v>
      </c>
    </row>
    <row r="45" spans="2:20" x14ac:dyDescent="0.25">
      <c r="B45" t="s">
        <v>121</v>
      </c>
    </row>
  </sheetData>
  <mergeCells count="28">
    <mergeCell ref="D36:E36"/>
    <mergeCell ref="F36:G36"/>
    <mergeCell ref="I36:J36"/>
    <mergeCell ref="K36:M36"/>
    <mergeCell ref="D39:E39"/>
    <mergeCell ref="F39:G39"/>
    <mergeCell ref="I39:J39"/>
    <mergeCell ref="K39:M39"/>
    <mergeCell ref="D37:E37"/>
    <mergeCell ref="F37:G37"/>
    <mergeCell ref="I37:J37"/>
    <mergeCell ref="K37:M37"/>
    <mergeCell ref="D38:E38"/>
    <mergeCell ref="F38:G38"/>
    <mergeCell ref="I38:J38"/>
    <mergeCell ref="K38:M38"/>
    <mergeCell ref="A1:E11"/>
    <mergeCell ref="F26:H26"/>
    <mergeCell ref="F14:H14"/>
    <mergeCell ref="P35:S35"/>
    <mergeCell ref="J14:N14"/>
    <mergeCell ref="J15:N15"/>
    <mergeCell ref="J19:M19"/>
    <mergeCell ref="J22:K22"/>
    <mergeCell ref="N22:P22"/>
    <mergeCell ref="J25:K25"/>
    <mergeCell ref="N25:O25"/>
    <mergeCell ref="B35:N35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A6DA-7516-4E53-B072-94FEB0216D1F}">
  <dimension ref="A1:O31"/>
  <sheetViews>
    <sheetView topLeftCell="A15" workbookViewId="0">
      <selection activeCell="A20" sqref="A20:D20"/>
    </sheetView>
  </sheetViews>
  <sheetFormatPr baseColWidth="10" defaultRowHeight="15" x14ac:dyDescent="0.25"/>
  <cols>
    <col min="1" max="1" width="14.7109375" customWidth="1"/>
    <col min="6" max="6" width="17.140625" customWidth="1"/>
    <col min="7" max="7" width="13.42578125" customWidth="1"/>
    <col min="8" max="8" width="13.7109375" customWidth="1"/>
  </cols>
  <sheetData>
    <row r="1" spans="1:15" ht="15.75" thickBot="1" x14ac:dyDescent="0.3">
      <c r="A1" s="122"/>
      <c r="B1" s="122"/>
      <c r="C1" s="122"/>
      <c r="D1" s="122"/>
      <c r="E1" s="122"/>
    </row>
    <row r="2" spans="1:15" ht="15.75" thickBot="1" x14ac:dyDescent="0.3">
      <c r="A2" s="122"/>
      <c r="B2" s="122"/>
      <c r="C2" s="122"/>
      <c r="D2" s="122"/>
      <c r="E2" s="122"/>
    </row>
    <row r="3" spans="1:15" ht="15.75" thickBot="1" x14ac:dyDescent="0.3">
      <c r="A3" s="122"/>
      <c r="B3" s="122"/>
      <c r="C3" s="122"/>
      <c r="D3" s="122"/>
      <c r="E3" s="122"/>
    </row>
    <row r="4" spans="1:15" ht="15.75" thickBot="1" x14ac:dyDescent="0.3">
      <c r="A4" s="122"/>
      <c r="B4" s="122"/>
      <c r="C4" s="122"/>
      <c r="D4" s="122"/>
      <c r="E4" s="122"/>
    </row>
    <row r="5" spans="1:15" ht="15.75" thickBot="1" x14ac:dyDescent="0.3">
      <c r="A5" s="122"/>
      <c r="B5" s="122"/>
      <c r="C5" s="122"/>
      <c r="D5" s="122"/>
      <c r="E5" s="122"/>
    </row>
    <row r="6" spans="1:15" ht="15.75" thickBot="1" x14ac:dyDescent="0.3">
      <c r="A6" s="122"/>
      <c r="B6" s="122"/>
      <c r="C6" s="122"/>
      <c r="D6" s="122"/>
      <c r="E6" s="122"/>
    </row>
    <row r="7" spans="1:15" ht="15.75" thickBot="1" x14ac:dyDescent="0.3">
      <c r="A7" s="122"/>
      <c r="B7" s="122"/>
      <c r="C7" s="122"/>
      <c r="D7" s="122"/>
      <c r="E7" s="122"/>
    </row>
    <row r="8" spans="1:15" ht="15.75" thickBot="1" x14ac:dyDescent="0.3">
      <c r="A8" s="122"/>
      <c r="B8" s="122"/>
      <c r="C8" s="122"/>
      <c r="D8" s="122"/>
      <c r="E8" s="122"/>
    </row>
    <row r="9" spans="1:15" ht="15.75" thickBot="1" x14ac:dyDescent="0.3">
      <c r="A9" s="122"/>
      <c r="B9" s="122"/>
      <c r="C9" s="122"/>
      <c r="D9" s="122"/>
      <c r="E9" s="122"/>
    </row>
    <row r="10" spans="1:15" ht="15.75" thickBot="1" x14ac:dyDescent="0.3">
      <c r="A10" s="122"/>
      <c r="B10" s="122"/>
      <c r="C10" s="122"/>
      <c r="D10" s="122"/>
      <c r="E10" s="122"/>
    </row>
    <row r="11" spans="1:15" ht="15.75" thickBot="1" x14ac:dyDescent="0.3">
      <c r="A11" s="122"/>
      <c r="B11" s="122"/>
      <c r="C11" s="122"/>
      <c r="D11" s="122"/>
      <c r="E11" s="122"/>
    </row>
    <row r="13" spans="1:15" ht="15.75" thickBot="1" x14ac:dyDescent="0.3"/>
    <row r="14" spans="1:15" ht="15.75" thickBot="1" x14ac:dyDescent="0.3">
      <c r="A14" s="22" t="s">
        <v>13</v>
      </c>
      <c r="B14" s="121" t="s">
        <v>62</v>
      </c>
      <c r="C14" s="121"/>
      <c r="D14" s="22" t="s">
        <v>227</v>
      </c>
      <c r="F14" s="22" t="s">
        <v>107</v>
      </c>
      <c r="G14" s="121" t="s">
        <v>62</v>
      </c>
      <c r="H14" s="121"/>
      <c r="I14" s="22" t="s">
        <v>227</v>
      </c>
      <c r="K14" s="118" t="s">
        <v>58</v>
      </c>
      <c r="L14" s="119"/>
      <c r="M14" s="119"/>
      <c r="N14" s="119"/>
      <c r="O14" s="120"/>
    </row>
    <row r="15" spans="1:15" ht="15.75" thickBot="1" x14ac:dyDescent="0.3">
      <c r="A15" s="1" t="s">
        <v>226</v>
      </c>
      <c r="B15" s="1">
        <v>400</v>
      </c>
      <c r="C15" s="1" t="s">
        <v>8</v>
      </c>
      <c r="D15" s="28">
        <v>4190</v>
      </c>
      <c r="F15" s="1" t="s">
        <v>226</v>
      </c>
      <c r="G15" s="1">
        <v>400</v>
      </c>
      <c r="H15" s="1" t="s">
        <v>8</v>
      </c>
      <c r="I15" s="28">
        <v>4190</v>
      </c>
      <c r="K15" s="2"/>
      <c r="L15" s="2"/>
      <c r="M15" s="2"/>
      <c r="N15" s="2"/>
      <c r="O15" s="2"/>
    </row>
    <row r="16" spans="1:15" ht="15.75" thickBot="1" x14ac:dyDescent="0.3">
      <c r="A16" s="1" t="s">
        <v>37</v>
      </c>
      <c r="B16" s="1">
        <v>3</v>
      </c>
      <c r="C16" s="1" t="s">
        <v>12</v>
      </c>
      <c r="D16" s="28">
        <f>600*3</f>
        <v>1800</v>
      </c>
      <c r="F16" s="1" t="s">
        <v>37</v>
      </c>
      <c r="G16" s="1">
        <v>3</v>
      </c>
      <c r="H16" s="1" t="s">
        <v>12</v>
      </c>
      <c r="I16" s="28">
        <f>600*3</f>
        <v>1800</v>
      </c>
      <c r="K16" s="1" t="s">
        <v>16</v>
      </c>
      <c r="L16" s="1">
        <v>3</v>
      </c>
      <c r="M16" s="1" t="s">
        <v>20</v>
      </c>
      <c r="N16" s="44">
        <v>3115</v>
      </c>
      <c r="O16" s="7">
        <f>+N16*L16</f>
        <v>9345</v>
      </c>
    </row>
    <row r="17" spans="1:15" ht="15.75" thickBot="1" x14ac:dyDescent="0.3">
      <c r="A17" s="1" t="s">
        <v>113</v>
      </c>
      <c r="B17" s="1">
        <v>120</v>
      </c>
      <c r="C17" s="1" t="s">
        <v>11</v>
      </c>
      <c r="D17" s="28">
        <v>1190</v>
      </c>
      <c r="F17" s="1" t="s">
        <v>113</v>
      </c>
      <c r="G17" s="1">
        <v>120</v>
      </c>
      <c r="H17" s="1" t="s">
        <v>11</v>
      </c>
      <c r="I17" s="28">
        <v>1190</v>
      </c>
      <c r="K17" s="1" t="s">
        <v>17</v>
      </c>
      <c r="L17" s="1">
        <v>2</v>
      </c>
      <c r="M17" s="1" t="s">
        <v>18</v>
      </c>
      <c r="N17" s="44">
        <v>2744</v>
      </c>
      <c r="O17" s="7">
        <f>+N17*L17</f>
        <v>5488</v>
      </c>
    </row>
    <row r="18" spans="1:15" ht="15.75" thickBot="1" x14ac:dyDescent="0.3">
      <c r="A18" s="1" t="s">
        <v>100</v>
      </c>
      <c r="B18" s="1">
        <v>125</v>
      </c>
      <c r="C18" s="1" t="s">
        <v>8</v>
      </c>
      <c r="D18" s="28">
        <v>4000</v>
      </c>
      <c r="F18" s="1" t="s">
        <v>100</v>
      </c>
      <c r="G18" s="1">
        <v>125</v>
      </c>
      <c r="H18" s="1" t="s">
        <v>8</v>
      </c>
      <c r="I18" s="28">
        <v>4000</v>
      </c>
      <c r="K18" s="1" t="s">
        <v>19</v>
      </c>
      <c r="L18" s="1">
        <v>1</v>
      </c>
      <c r="M18" s="1" t="s">
        <v>20</v>
      </c>
      <c r="N18" s="44">
        <v>2744</v>
      </c>
      <c r="O18" s="7">
        <f>+N18*L18</f>
        <v>2744</v>
      </c>
    </row>
    <row r="19" spans="1:15" ht="15.75" thickBot="1" x14ac:dyDescent="0.3">
      <c r="A19" s="1" t="s">
        <v>228</v>
      </c>
      <c r="B19" s="1">
        <v>500</v>
      </c>
      <c r="C19" s="1" t="s">
        <v>8</v>
      </c>
      <c r="D19" s="28">
        <v>5400</v>
      </c>
      <c r="F19" s="1" t="s">
        <v>228</v>
      </c>
      <c r="G19" s="1">
        <v>230</v>
      </c>
      <c r="H19" s="1" t="s">
        <v>8</v>
      </c>
      <c r="I19" s="28">
        <f>+F25*G19</f>
        <v>2484</v>
      </c>
      <c r="K19" s="118" t="s">
        <v>44</v>
      </c>
      <c r="L19" s="119"/>
      <c r="M19" s="119"/>
      <c r="N19" s="120"/>
      <c r="O19" s="62">
        <f>+SUM(O16:O18)</f>
        <v>17577</v>
      </c>
    </row>
    <row r="20" spans="1:15" ht="15.75" thickBot="1" x14ac:dyDescent="0.3">
      <c r="A20" s="1" t="s">
        <v>229</v>
      </c>
      <c r="B20" s="1">
        <v>500</v>
      </c>
      <c r="C20" s="1" t="s">
        <v>8</v>
      </c>
      <c r="D20" s="28">
        <v>3700</v>
      </c>
      <c r="F20" s="1" t="s">
        <v>229</v>
      </c>
      <c r="G20" s="1">
        <v>450</v>
      </c>
      <c r="H20" s="1" t="s">
        <v>8</v>
      </c>
      <c r="I20" s="28">
        <f>+H25*G20</f>
        <v>3330</v>
      </c>
    </row>
    <row r="21" spans="1:15" ht="15.75" thickBot="1" x14ac:dyDescent="0.3">
      <c r="A21" s="1"/>
      <c r="B21" s="1"/>
      <c r="C21" s="1"/>
      <c r="D21" s="28"/>
      <c r="F21" s="1"/>
      <c r="G21" s="1"/>
      <c r="H21" s="1"/>
      <c r="I21" s="28"/>
    </row>
    <row r="22" spans="1:15" ht="15.75" thickBot="1" x14ac:dyDescent="0.3">
      <c r="A22" s="121" t="s">
        <v>33</v>
      </c>
      <c r="B22" s="121"/>
      <c r="C22" s="121"/>
      <c r="D22" s="30">
        <f>+SUM(D15:D21)</f>
        <v>20280</v>
      </c>
      <c r="F22" s="121" t="s">
        <v>33</v>
      </c>
      <c r="G22" s="121"/>
      <c r="H22" s="121"/>
      <c r="I22" s="30">
        <f>+SUM(I15:I21)</f>
        <v>16994</v>
      </c>
      <c r="K22" s="122" t="s">
        <v>23</v>
      </c>
      <c r="L22" s="122"/>
      <c r="M22" s="10">
        <v>0.15</v>
      </c>
    </row>
    <row r="23" spans="1:15" ht="15.75" thickBot="1" x14ac:dyDescent="0.3"/>
    <row r="24" spans="1:15" ht="15.75" thickBot="1" x14ac:dyDescent="0.3">
      <c r="K24" s="123" t="s">
        <v>22</v>
      </c>
      <c r="L24" s="123"/>
      <c r="M24" s="123"/>
      <c r="N24" s="9">
        <v>4833</v>
      </c>
    </row>
    <row r="25" spans="1:15" ht="15.75" thickBot="1" x14ac:dyDescent="0.3">
      <c r="F25">
        <f>+D19/B19</f>
        <v>10.8</v>
      </c>
      <c r="H25">
        <f>+D20/B20</f>
        <v>7.4</v>
      </c>
    </row>
    <row r="26" spans="1:15" ht="15.75" thickBot="1" x14ac:dyDescent="0.3">
      <c r="K26" s="122" t="s">
        <v>24</v>
      </c>
      <c r="L26" s="122"/>
      <c r="M26" s="10">
        <v>0.02</v>
      </c>
    </row>
    <row r="28" spans="1:15" ht="15.75" thickBot="1" x14ac:dyDescent="0.3"/>
    <row r="29" spans="1:15" ht="15.75" thickBot="1" x14ac:dyDescent="0.3">
      <c r="A29" s="22" t="s">
        <v>30</v>
      </c>
      <c r="B29" s="22" t="s">
        <v>58</v>
      </c>
      <c r="C29" s="22" t="s">
        <v>29</v>
      </c>
      <c r="D29" s="22"/>
      <c r="E29" s="121" t="s">
        <v>31</v>
      </c>
      <c r="F29" s="121"/>
      <c r="G29" s="121" t="s">
        <v>32</v>
      </c>
      <c r="H29" s="121"/>
      <c r="I29" s="2" t="s">
        <v>33</v>
      </c>
      <c r="J29" s="56"/>
      <c r="L29" t="s">
        <v>249</v>
      </c>
      <c r="M29">
        <v>10100</v>
      </c>
    </row>
    <row r="30" spans="1:15" ht="15.75" thickBot="1" x14ac:dyDescent="0.3">
      <c r="A30" s="7">
        <f>+I22</f>
        <v>16994</v>
      </c>
      <c r="B30" s="7">
        <f>+O19</f>
        <v>17577</v>
      </c>
      <c r="C30" s="7">
        <f>+N24*4</f>
        <v>19332</v>
      </c>
      <c r="D30" s="9">
        <f>+A30+B30+C30</f>
        <v>53903</v>
      </c>
      <c r="E30" s="131">
        <f>+D30*M22</f>
        <v>8085.45</v>
      </c>
      <c r="F30" s="131"/>
      <c r="G30" s="131"/>
      <c r="H30" s="131"/>
      <c r="I30" s="11">
        <f>ROUND(SUM(D30:G30),3)</f>
        <v>61988.45</v>
      </c>
      <c r="J30" s="6"/>
      <c r="L30" t="s">
        <v>37</v>
      </c>
      <c r="M30">
        <f>3*600</f>
        <v>1800</v>
      </c>
    </row>
    <row r="31" spans="1:15" x14ac:dyDescent="0.25">
      <c r="L31" t="s">
        <v>250</v>
      </c>
      <c r="M31">
        <v>1600</v>
      </c>
    </row>
  </sheetData>
  <mergeCells count="14">
    <mergeCell ref="E29:F29"/>
    <mergeCell ref="E30:F30"/>
    <mergeCell ref="G29:H29"/>
    <mergeCell ref="G30:H30"/>
    <mergeCell ref="K22:L22"/>
    <mergeCell ref="K24:M24"/>
    <mergeCell ref="K26:L26"/>
    <mergeCell ref="A1:E11"/>
    <mergeCell ref="B14:C14"/>
    <mergeCell ref="K19:N19"/>
    <mergeCell ref="A22:C22"/>
    <mergeCell ref="G14:H14"/>
    <mergeCell ref="F22:H22"/>
    <mergeCell ref="K14:O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2B46-209B-4EBD-BC62-54E2C531B8E5}">
  <dimension ref="A1:O41"/>
  <sheetViews>
    <sheetView topLeftCell="A26" workbookViewId="0">
      <selection activeCell="D33" sqref="D33:L34"/>
    </sheetView>
  </sheetViews>
  <sheetFormatPr baseColWidth="10" defaultRowHeight="15" x14ac:dyDescent="0.25"/>
  <cols>
    <col min="1" max="1" width="18.5703125" customWidth="1"/>
    <col min="2" max="2" width="7.5703125" customWidth="1"/>
    <col min="3" max="3" width="4.5703125" customWidth="1"/>
    <col min="4" max="4" width="12.42578125" customWidth="1"/>
    <col min="5" max="5" width="19.140625" customWidth="1"/>
    <col min="6" max="6" width="13.28515625" customWidth="1"/>
    <col min="7" max="7" width="16.28515625" customWidth="1"/>
    <col min="8" max="8" width="5.7109375" customWidth="1"/>
    <col min="9" max="9" width="21.140625" customWidth="1"/>
    <col min="10" max="10" width="25" customWidth="1"/>
    <col min="11" max="11" width="13.42578125" customWidth="1"/>
    <col min="13" max="13" width="26" customWidth="1"/>
    <col min="14" max="14" width="13" bestFit="1" customWidth="1"/>
  </cols>
  <sheetData>
    <row r="1" spans="1:15" x14ac:dyDescent="0.25">
      <c r="A1" s="137"/>
      <c r="B1" s="138"/>
      <c r="C1" s="138"/>
      <c r="D1" s="138"/>
      <c r="E1" s="139"/>
    </row>
    <row r="2" spans="1:15" x14ac:dyDescent="0.25">
      <c r="A2" s="140"/>
      <c r="B2" s="141"/>
      <c r="C2" s="141"/>
      <c r="D2" s="141"/>
      <c r="E2" s="142"/>
    </row>
    <row r="3" spans="1:15" x14ac:dyDescent="0.25">
      <c r="A3" s="140"/>
      <c r="B3" s="141"/>
      <c r="C3" s="141"/>
      <c r="D3" s="141"/>
      <c r="E3" s="142"/>
    </row>
    <row r="4" spans="1:15" x14ac:dyDescent="0.25">
      <c r="A4" s="140"/>
      <c r="B4" s="141"/>
      <c r="C4" s="141"/>
      <c r="D4" s="141"/>
      <c r="E4" s="142"/>
    </row>
    <row r="5" spans="1:15" x14ac:dyDescent="0.25">
      <c r="A5" s="140"/>
      <c r="B5" s="141"/>
      <c r="C5" s="141"/>
      <c r="D5" s="141"/>
      <c r="E5" s="142"/>
    </row>
    <row r="6" spans="1:15" x14ac:dyDescent="0.25">
      <c r="A6" s="140"/>
      <c r="B6" s="141"/>
      <c r="C6" s="141"/>
      <c r="D6" s="141"/>
      <c r="E6" s="142"/>
    </row>
    <row r="7" spans="1:15" x14ac:dyDescent="0.25">
      <c r="A7" s="140"/>
      <c r="B7" s="141"/>
      <c r="C7" s="141"/>
      <c r="D7" s="141"/>
      <c r="E7" s="142"/>
    </row>
    <row r="8" spans="1:15" x14ac:dyDescent="0.25">
      <c r="A8" s="140"/>
      <c r="B8" s="141"/>
      <c r="C8" s="141"/>
      <c r="D8" s="141"/>
      <c r="E8" s="142"/>
    </row>
    <row r="9" spans="1:15" x14ac:dyDescent="0.25">
      <c r="A9" s="140"/>
      <c r="B9" s="141"/>
      <c r="C9" s="141"/>
      <c r="D9" s="141"/>
      <c r="E9" s="142"/>
    </row>
    <row r="10" spans="1:15" ht="15.75" thickBot="1" x14ac:dyDescent="0.3">
      <c r="A10" s="143"/>
      <c r="B10" s="144"/>
      <c r="C10" s="144"/>
      <c r="D10" s="144"/>
      <c r="E10" s="145"/>
    </row>
    <row r="11" spans="1:15" ht="15.75" thickBot="1" x14ac:dyDescent="0.3"/>
    <row r="12" spans="1:15" ht="15.75" thickBot="1" x14ac:dyDescent="0.3">
      <c r="A12" s="121" t="s">
        <v>13</v>
      </c>
      <c r="B12" s="121"/>
      <c r="C12" s="121"/>
      <c r="D12" s="121"/>
      <c r="G12" s="121" t="s">
        <v>58</v>
      </c>
      <c r="H12" s="122"/>
      <c r="I12" s="122"/>
      <c r="J12" s="122"/>
      <c r="K12" s="122"/>
    </row>
    <row r="13" spans="1:15" ht="15.75" thickBot="1" x14ac:dyDescent="0.3">
      <c r="A13" s="133" t="s">
        <v>3</v>
      </c>
      <c r="B13" s="1">
        <v>250</v>
      </c>
      <c r="C13" s="1" t="s">
        <v>8</v>
      </c>
      <c r="D13" s="4">
        <v>4500</v>
      </c>
      <c r="G13" s="1" t="s">
        <v>16</v>
      </c>
      <c r="H13" s="1">
        <v>5</v>
      </c>
      <c r="I13" s="1" t="s">
        <v>20</v>
      </c>
      <c r="J13" s="7">
        <v>3115</v>
      </c>
      <c r="K13" s="7">
        <f>+J13*H13</f>
        <v>15575</v>
      </c>
      <c r="M13" s="8" t="s">
        <v>22</v>
      </c>
      <c r="N13" s="9">
        <v>4833</v>
      </c>
    </row>
    <row r="14" spans="1:15" ht="15.75" thickBot="1" x14ac:dyDescent="0.3">
      <c r="A14" s="133"/>
      <c r="B14" s="1">
        <v>500</v>
      </c>
      <c r="C14" s="1" t="s">
        <v>8</v>
      </c>
      <c r="D14" s="4">
        <v>8900</v>
      </c>
      <c r="G14" s="1" t="s">
        <v>17</v>
      </c>
      <c r="H14" s="1">
        <v>3</v>
      </c>
      <c r="I14" s="1" t="s">
        <v>18</v>
      </c>
      <c r="J14" s="7">
        <v>2744</v>
      </c>
      <c r="K14" s="7">
        <f>+J14*H14</f>
        <v>8232</v>
      </c>
    </row>
    <row r="15" spans="1:15" ht="15.75" thickBot="1" x14ac:dyDescent="0.3">
      <c r="A15" s="133" t="s">
        <v>4</v>
      </c>
      <c r="B15" s="1">
        <v>250</v>
      </c>
      <c r="C15" s="1" t="s">
        <v>8</v>
      </c>
      <c r="D15" s="4">
        <v>4500</v>
      </c>
      <c r="G15" s="1" t="s">
        <v>19</v>
      </c>
      <c r="H15" s="1">
        <v>5</v>
      </c>
      <c r="I15" s="1" t="s">
        <v>20</v>
      </c>
      <c r="J15" s="7">
        <v>2744</v>
      </c>
      <c r="K15" s="7">
        <f>+J15*H15</f>
        <v>13720</v>
      </c>
      <c r="M15" s="1" t="s">
        <v>21</v>
      </c>
      <c r="N15" s="1">
        <v>5</v>
      </c>
      <c r="O15" s="7">
        <f>+$N$13*$N$15</f>
        <v>24165</v>
      </c>
    </row>
    <row r="16" spans="1:15" ht="15.75" thickBot="1" x14ac:dyDescent="0.3">
      <c r="A16" s="133"/>
      <c r="B16" s="1">
        <v>500</v>
      </c>
      <c r="C16" s="1" t="s">
        <v>8</v>
      </c>
      <c r="D16" s="4">
        <v>8900</v>
      </c>
      <c r="K16" s="6">
        <f>+SUM(K13:K15)</f>
        <v>37527</v>
      </c>
    </row>
    <row r="17" spans="1:14" ht="15.75" thickBot="1" x14ac:dyDescent="0.3">
      <c r="A17" s="133" t="s">
        <v>5</v>
      </c>
      <c r="B17" s="1">
        <v>250</v>
      </c>
      <c r="C17" s="1" t="s">
        <v>8</v>
      </c>
      <c r="D17" s="4">
        <v>4500</v>
      </c>
    </row>
    <row r="18" spans="1:14" ht="15.75" thickBot="1" x14ac:dyDescent="0.3">
      <c r="A18" s="133"/>
      <c r="B18" s="1">
        <v>500</v>
      </c>
      <c r="C18" s="1" t="s">
        <v>8</v>
      </c>
      <c r="D18" s="4">
        <v>8900</v>
      </c>
    </row>
    <row r="19" spans="1:14" ht="15.75" thickBot="1" x14ac:dyDescent="0.3">
      <c r="A19" s="133" t="s">
        <v>6</v>
      </c>
      <c r="B19" s="1">
        <v>250</v>
      </c>
      <c r="C19" s="1" t="s">
        <v>8</v>
      </c>
      <c r="D19" s="4">
        <v>4500</v>
      </c>
      <c r="G19" s="1" t="s">
        <v>23</v>
      </c>
      <c r="H19" s="10">
        <v>0.2</v>
      </c>
      <c r="I19" s="19"/>
      <c r="M19" s="1" t="s">
        <v>24</v>
      </c>
      <c r="N19" s="10">
        <v>0.02</v>
      </c>
    </row>
    <row r="20" spans="1:14" ht="15.75" thickBot="1" x14ac:dyDescent="0.3">
      <c r="A20" s="133"/>
      <c r="B20" s="1">
        <v>500</v>
      </c>
      <c r="C20" s="1" t="s">
        <v>8</v>
      </c>
      <c r="D20" s="4">
        <v>8900</v>
      </c>
      <c r="G20" s="1" t="s">
        <v>28</v>
      </c>
      <c r="H20" s="10">
        <v>0.15</v>
      </c>
      <c r="I20" s="19"/>
      <c r="N20" s="6"/>
    </row>
    <row r="21" spans="1:14" ht="15.75" thickBot="1" x14ac:dyDescent="0.3">
      <c r="A21" s="133" t="s">
        <v>7</v>
      </c>
      <c r="B21" s="1">
        <v>250</v>
      </c>
      <c r="C21" s="1" t="s">
        <v>8</v>
      </c>
      <c r="D21" s="4">
        <v>4500</v>
      </c>
    </row>
    <row r="22" spans="1:14" ht="15.75" thickBot="1" x14ac:dyDescent="0.3">
      <c r="A22" s="133"/>
      <c r="B22" s="1">
        <v>500</v>
      </c>
      <c r="C22" s="1" t="s">
        <v>8</v>
      </c>
      <c r="D22" s="4">
        <v>8900</v>
      </c>
    </row>
    <row r="23" spans="1:14" ht="15.75" thickBot="1" x14ac:dyDescent="0.3">
      <c r="A23" s="3" t="s">
        <v>0</v>
      </c>
      <c r="B23" s="1">
        <v>125</v>
      </c>
      <c r="C23" s="1" t="s">
        <v>8</v>
      </c>
      <c r="D23" s="4">
        <v>9000</v>
      </c>
    </row>
    <row r="24" spans="1:14" ht="15.75" thickBot="1" x14ac:dyDescent="0.3">
      <c r="A24" s="133" t="s">
        <v>1</v>
      </c>
      <c r="B24" s="1">
        <v>300</v>
      </c>
      <c r="C24" s="1" t="s">
        <v>8</v>
      </c>
      <c r="D24" s="4">
        <v>7700</v>
      </c>
    </row>
    <row r="25" spans="1:14" ht="15.75" thickBot="1" x14ac:dyDescent="0.3">
      <c r="A25" s="133"/>
      <c r="B25" s="1">
        <v>700</v>
      </c>
      <c r="C25" s="1" t="s">
        <v>8</v>
      </c>
      <c r="D25" s="4">
        <v>8900</v>
      </c>
    </row>
    <row r="26" spans="1:14" ht="15.75" thickBot="1" x14ac:dyDescent="0.3">
      <c r="A26" s="3" t="s">
        <v>2</v>
      </c>
      <c r="B26" s="1">
        <v>60</v>
      </c>
      <c r="C26" s="1" t="s">
        <v>11</v>
      </c>
      <c r="D26" s="4">
        <v>4100</v>
      </c>
    </row>
    <row r="27" spans="1:14" ht="15.75" thickBot="1" x14ac:dyDescent="0.3">
      <c r="A27" s="134" t="s">
        <v>9</v>
      </c>
      <c r="B27" s="1">
        <v>7</v>
      </c>
      <c r="C27" s="1" t="s">
        <v>14</v>
      </c>
      <c r="D27" s="4">
        <v>4000</v>
      </c>
      <c r="E27" t="s">
        <v>15</v>
      </c>
    </row>
    <row r="28" spans="1:14" ht="15.75" thickBot="1" x14ac:dyDescent="0.3">
      <c r="A28" s="135"/>
      <c r="B28" s="1">
        <v>5</v>
      </c>
      <c r="C28" s="1" t="s">
        <v>14</v>
      </c>
      <c r="D28" s="4">
        <v>3700</v>
      </c>
      <c r="E28" t="s">
        <v>15</v>
      </c>
    </row>
    <row r="29" spans="1:14" ht="15.75" thickBot="1" x14ac:dyDescent="0.3">
      <c r="A29" s="136"/>
      <c r="B29" s="1">
        <v>3.5</v>
      </c>
      <c r="C29" s="1" t="s">
        <v>14</v>
      </c>
      <c r="D29" s="4">
        <v>3500</v>
      </c>
      <c r="E29" t="s">
        <v>15</v>
      </c>
    </row>
    <row r="30" spans="1:14" ht="15.75" thickBot="1" x14ac:dyDescent="0.3">
      <c r="A30" s="3" t="s">
        <v>10</v>
      </c>
      <c r="B30" s="1">
        <v>100</v>
      </c>
      <c r="C30" s="1" t="s">
        <v>12</v>
      </c>
      <c r="D30" s="4">
        <v>6500</v>
      </c>
      <c r="K30" s="6"/>
    </row>
    <row r="31" spans="1:14" ht="15.75" thickBot="1" x14ac:dyDescent="0.3">
      <c r="A31" s="3" t="s">
        <v>17</v>
      </c>
      <c r="B31" s="1">
        <v>5</v>
      </c>
      <c r="C31" s="1" t="s">
        <v>18</v>
      </c>
      <c r="D31" s="5">
        <v>2700</v>
      </c>
    </row>
    <row r="32" spans="1:14" ht="15.75" thickBot="1" x14ac:dyDescent="0.3"/>
    <row r="33" spans="1:12" ht="15.75" thickBot="1" x14ac:dyDescent="0.3">
      <c r="A33" s="124"/>
      <c r="B33" s="132"/>
      <c r="C33" s="125"/>
      <c r="D33" s="22" t="s">
        <v>30</v>
      </c>
      <c r="E33" s="22" t="s">
        <v>58</v>
      </c>
      <c r="F33" s="22" t="s">
        <v>29</v>
      </c>
      <c r="G33" s="22"/>
      <c r="H33" s="121" t="s">
        <v>31</v>
      </c>
      <c r="I33" s="121"/>
      <c r="J33" s="2" t="s">
        <v>32</v>
      </c>
      <c r="K33" s="23" t="s">
        <v>33</v>
      </c>
      <c r="L33" s="22" t="s">
        <v>34</v>
      </c>
    </row>
    <row r="34" spans="1:12" ht="15.75" thickBot="1" x14ac:dyDescent="0.3">
      <c r="A34" s="118" t="s">
        <v>26</v>
      </c>
      <c r="B34" s="119"/>
      <c r="C34" s="120"/>
      <c r="D34" s="7">
        <f>+D13+D15+D17+D19+D21+D23+D24+D26+D27+D30+D31</f>
        <v>56500</v>
      </c>
      <c r="E34" s="7">
        <f>+SUM(K13:K15)</f>
        <v>37527</v>
      </c>
      <c r="F34" s="7">
        <f>+N13*N15</f>
        <v>24165</v>
      </c>
      <c r="G34" s="9">
        <f>+D34+E34+F34</f>
        <v>118192</v>
      </c>
      <c r="H34" s="131">
        <f>+H19*G34</f>
        <v>23638.400000000001</v>
      </c>
      <c r="I34" s="131"/>
      <c r="J34" s="11">
        <f>+G34*N19</f>
        <v>2363.84</v>
      </c>
      <c r="K34" s="12">
        <f>ROUND(SUM(G34:J34),3)</f>
        <v>144194.23999999999</v>
      </c>
      <c r="L34" s="15">
        <f>+K34/30</f>
        <v>4806.4746666666661</v>
      </c>
    </row>
    <row r="35" spans="1:12" ht="15.75" thickBot="1" x14ac:dyDescent="0.3">
      <c r="A35" s="118" t="s">
        <v>25</v>
      </c>
      <c r="B35" s="119"/>
      <c r="C35" s="120"/>
      <c r="D35" s="5">
        <f>+SUM(D13+D15+D17+D19+D21+D23+D24+D26+D28+D30+D31)</f>
        <v>56200</v>
      </c>
      <c r="E35" s="7">
        <f>+SUM(K13:K15)</f>
        <v>37527</v>
      </c>
      <c r="F35" s="7">
        <f>+O15</f>
        <v>24165</v>
      </c>
      <c r="G35" s="9">
        <f>+D35+E35+F35</f>
        <v>117892</v>
      </c>
      <c r="H35" s="131">
        <f>+G35*H19</f>
        <v>23578.400000000001</v>
      </c>
      <c r="I35" s="131"/>
      <c r="J35" s="11">
        <f>+G35*N19</f>
        <v>2357.84</v>
      </c>
      <c r="K35" s="12">
        <f>+SUM(G35:J35)</f>
        <v>143828.24</v>
      </c>
      <c r="L35" s="15">
        <f>+K35/30</f>
        <v>4794.2746666666662</v>
      </c>
    </row>
    <row r="36" spans="1:12" ht="15.75" thickBot="1" x14ac:dyDescent="0.3">
      <c r="A36" s="22" t="s">
        <v>27</v>
      </c>
      <c r="B36" s="46"/>
      <c r="C36" s="47"/>
      <c r="D36" s="7">
        <f>+D13+D15+D17+D19+D21+D23+D24+D26+D29+D30+D31</f>
        <v>56000</v>
      </c>
      <c r="E36" s="7">
        <f>+SUM(K13:K15)</f>
        <v>37527</v>
      </c>
      <c r="F36" s="7">
        <f>+O15</f>
        <v>24165</v>
      </c>
      <c r="G36" s="9">
        <f>+D36+E36+F36</f>
        <v>117692</v>
      </c>
      <c r="H36" s="131">
        <f>+G36*H19</f>
        <v>23538.400000000001</v>
      </c>
      <c r="I36" s="131"/>
      <c r="J36" s="11">
        <f>+G36*N19</f>
        <v>2353.84</v>
      </c>
      <c r="K36" s="12">
        <f>+SUM(G36:J36)</f>
        <v>143584.24</v>
      </c>
      <c r="L36" s="15">
        <f>+K36/30</f>
        <v>4786.141333333333</v>
      </c>
    </row>
    <row r="37" spans="1:12" ht="15.75" thickBot="1" x14ac:dyDescent="0.3">
      <c r="C37" s="14"/>
      <c r="D37" s="6"/>
      <c r="E37" s="14"/>
    </row>
    <row r="38" spans="1:12" ht="15.75" thickBot="1" x14ac:dyDescent="0.3">
      <c r="D38" s="6"/>
      <c r="H38" s="124" t="s">
        <v>35</v>
      </c>
      <c r="I38" s="125"/>
      <c r="J38" s="1"/>
      <c r="K38" s="1"/>
      <c r="L38" s="1"/>
    </row>
    <row r="39" spans="1:12" ht="15.75" thickBot="1" x14ac:dyDescent="0.3">
      <c r="D39" s="6"/>
      <c r="H39" s="126">
        <f>+G34*H20</f>
        <v>17728.8</v>
      </c>
      <c r="I39" s="127"/>
      <c r="J39" s="1"/>
      <c r="K39" s="7">
        <f>+D34+E34+F34+H39+J34</f>
        <v>138284.63999999998</v>
      </c>
      <c r="L39" s="16">
        <f>+K39/30</f>
        <v>4609.4879999999994</v>
      </c>
    </row>
    <row r="40" spans="1:12" ht="15.75" thickBot="1" x14ac:dyDescent="0.3">
      <c r="H40" s="126">
        <f>+G35*H20</f>
        <v>17683.8</v>
      </c>
      <c r="I40" s="127"/>
      <c r="J40" s="1"/>
      <c r="K40" s="7">
        <f>+D35+E35+F35+H40+J35</f>
        <v>137933.63999999998</v>
      </c>
      <c r="L40" s="16">
        <f>+K40/30</f>
        <v>4597.7879999999996</v>
      </c>
    </row>
    <row r="41" spans="1:12" ht="15.75" thickBot="1" x14ac:dyDescent="0.3">
      <c r="H41" s="126">
        <f>+G36*H20</f>
        <v>17653.8</v>
      </c>
      <c r="I41" s="127"/>
      <c r="J41" s="7"/>
      <c r="K41" s="7">
        <f>+D36+E36+F36+H41+J36</f>
        <v>137699.63999999998</v>
      </c>
      <c r="L41" s="16">
        <f>+K41/30</f>
        <v>4589.9879999999994</v>
      </c>
    </row>
  </sheetData>
  <mergeCells count="21">
    <mergeCell ref="A24:A25"/>
    <mergeCell ref="A12:D12"/>
    <mergeCell ref="A27:A29"/>
    <mergeCell ref="A1:E10"/>
    <mergeCell ref="A13:A14"/>
    <mergeCell ref="A15:A16"/>
    <mergeCell ref="A17:A18"/>
    <mergeCell ref="A19:A20"/>
    <mergeCell ref="A21:A22"/>
    <mergeCell ref="G12:K12"/>
    <mergeCell ref="H33:I33"/>
    <mergeCell ref="H34:I34"/>
    <mergeCell ref="H35:I35"/>
    <mergeCell ref="H36:I36"/>
    <mergeCell ref="H39:I39"/>
    <mergeCell ref="H40:I40"/>
    <mergeCell ref="H41:I41"/>
    <mergeCell ref="A33:C33"/>
    <mergeCell ref="A34:C34"/>
    <mergeCell ref="A35:C35"/>
    <mergeCell ref="H38:I38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6B6-D8ED-457F-9EA7-B52AECB4520A}">
  <dimension ref="A1:X52"/>
  <sheetViews>
    <sheetView topLeftCell="A11" workbookViewId="0">
      <selection activeCell="D50" sqref="D50:E50"/>
    </sheetView>
  </sheetViews>
  <sheetFormatPr baseColWidth="10" defaultRowHeight="15" x14ac:dyDescent="0.25"/>
  <cols>
    <col min="1" max="1" width="17.85546875" customWidth="1"/>
    <col min="4" max="4" width="12.5703125" customWidth="1"/>
    <col min="5" max="5" width="12.42578125" customWidth="1"/>
    <col min="6" max="6" width="6.85546875" customWidth="1"/>
    <col min="9" max="9" width="5.7109375" customWidth="1"/>
    <col min="10" max="10" width="12" bestFit="1" customWidth="1"/>
    <col min="12" max="12" width="6.7109375" customWidth="1"/>
    <col min="15" max="15" width="11.140625" customWidth="1"/>
    <col min="17" max="17" width="11.42578125" customWidth="1"/>
    <col min="19" max="19" width="12" bestFit="1" customWidth="1"/>
  </cols>
  <sheetData>
    <row r="1" spans="1:24" ht="16.5" thickTop="1" thickBot="1" x14ac:dyDescent="0.3">
      <c r="A1" s="117"/>
      <c r="B1" s="117"/>
      <c r="C1" s="117"/>
      <c r="D1" s="117"/>
      <c r="E1" s="117"/>
    </row>
    <row r="2" spans="1:24" ht="16.5" thickTop="1" thickBot="1" x14ac:dyDescent="0.3">
      <c r="A2" s="117"/>
      <c r="B2" s="117"/>
      <c r="C2" s="117"/>
      <c r="D2" s="117"/>
      <c r="E2" s="117"/>
    </row>
    <row r="3" spans="1:24" ht="16.5" thickTop="1" thickBot="1" x14ac:dyDescent="0.3">
      <c r="A3" s="117"/>
      <c r="B3" s="117"/>
      <c r="C3" s="117"/>
      <c r="D3" s="117"/>
      <c r="E3" s="117"/>
    </row>
    <row r="4" spans="1:24" ht="16.5" thickTop="1" thickBot="1" x14ac:dyDescent="0.3">
      <c r="A4" s="117"/>
      <c r="B4" s="117"/>
      <c r="C4" s="117"/>
      <c r="D4" s="117"/>
      <c r="E4" s="117"/>
    </row>
    <row r="5" spans="1:24" ht="16.5" thickTop="1" thickBot="1" x14ac:dyDescent="0.3">
      <c r="A5" s="117"/>
      <c r="B5" s="117"/>
      <c r="C5" s="117"/>
      <c r="D5" s="117"/>
      <c r="E5" s="117"/>
    </row>
    <row r="6" spans="1:24" ht="16.5" thickTop="1" thickBot="1" x14ac:dyDescent="0.3">
      <c r="A6" s="117"/>
      <c r="B6" s="117"/>
      <c r="C6" s="117"/>
      <c r="D6" s="117"/>
      <c r="E6" s="117"/>
    </row>
    <row r="7" spans="1:24" ht="16.5" thickTop="1" thickBot="1" x14ac:dyDescent="0.3">
      <c r="A7" s="117"/>
      <c r="B7" s="117"/>
      <c r="C7" s="117"/>
      <c r="D7" s="117"/>
      <c r="E7" s="117"/>
    </row>
    <row r="8" spans="1:24" ht="16.5" thickTop="1" thickBot="1" x14ac:dyDescent="0.3">
      <c r="A8" s="117"/>
      <c r="B8" s="117"/>
      <c r="C8" s="117"/>
      <c r="D8" s="117"/>
      <c r="E8" s="117"/>
    </row>
    <row r="9" spans="1:24" ht="16.5" thickTop="1" thickBot="1" x14ac:dyDescent="0.3">
      <c r="A9" s="117"/>
      <c r="B9" s="117"/>
      <c r="C9" s="117"/>
      <c r="D9" s="117"/>
      <c r="E9" s="117"/>
    </row>
    <row r="10" spans="1:24" ht="16.5" thickTop="1" thickBot="1" x14ac:dyDescent="0.3">
      <c r="A10" s="117"/>
      <c r="B10" s="117"/>
      <c r="C10" s="117"/>
      <c r="D10" s="117"/>
      <c r="E10" s="117"/>
    </row>
    <row r="11" spans="1:24" ht="16.5" thickTop="1" thickBot="1" x14ac:dyDescent="0.3">
      <c r="A11" s="117"/>
      <c r="B11" s="117"/>
      <c r="C11" s="117"/>
      <c r="D11" s="117"/>
      <c r="E11" s="117"/>
    </row>
    <row r="12" spans="1:24" ht="15.75" thickTop="1" x14ac:dyDescent="0.25">
      <c r="A12" t="s">
        <v>38</v>
      </c>
      <c r="B12" t="s">
        <v>40</v>
      </c>
    </row>
    <row r="13" spans="1:24" x14ac:dyDescent="0.25">
      <c r="A13">
        <f>+D19/B19</f>
        <v>11.4</v>
      </c>
      <c r="B13" s="25">
        <f>+D20/B20</f>
        <v>0.45</v>
      </c>
    </row>
    <row r="14" spans="1:24" ht="15.75" thickBot="1" x14ac:dyDescent="0.3">
      <c r="N14" s="141"/>
      <c r="O14" s="141"/>
      <c r="P14" s="141"/>
    </row>
    <row r="15" spans="1:24" ht="15.75" thickBot="1" x14ac:dyDescent="0.3">
      <c r="A15" s="121" t="s">
        <v>45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O15" s="121" t="s">
        <v>58</v>
      </c>
      <c r="P15" s="121"/>
      <c r="Q15" s="121"/>
      <c r="R15" s="121"/>
      <c r="S15" s="121"/>
      <c r="W15" s="24"/>
      <c r="X15" s="24"/>
    </row>
    <row r="16" spans="1:24" ht="15.75" thickBot="1" x14ac:dyDescent="0.3">
      <c r="A16" s="148" t="s">
        <v>13</v>
      </c>
      <c r="B16" s="146"/>
      <c r="C16" s="146"/>
      <c r="D16" s="147"/>
      <c r="E16" s="146" t="s">
        <v>39</v>
      </c>
      <c r="F16" s="146"/>
      <c r="G16" s="147"/>
      <c r="H16" s="149" t="s">
        <v>41</v>
      </c>
      <c r="I16" s="150"/>
      <c r="J16" s="151"/>
      <c r="K16" s="149" t="s">
        <v>43</v>
      </c>
      <c r="L16" s="150"/>
      <c r="M16" s="150"/>
      <c r="O16" s="121" t="s">
        <v>39</v>
      </c>
      <c r="P16" s="121"/>
      <c r="Q16" s="121"/>
      <c r="R16" s="121"/>
      <c r="S16" s="121"/>
    </row>
    <row r="17" spans="1:19" ht="15.75" thickBot="1" x14ac:dyDescent="0.3">
      <c r="A17" s="20" t="s">
        <v>36</v>
      </c>
      <c r="B17" s="43">
        <v>500</v>
      </c>
      <c r="C17" s="1" t="s">
        <v>8</v>
      </c>
      <c r="D17" s="31">
        <v>9500</v>
      </c>
      <c r="E17" s="18">
        <v>250</v>
      </c>
      <c r="F17" s="1" t="s">
        <v>8</v>
      </c>
      <c r="G17" s="32">
        <v>4750</v>
      </c>
      <c r="H17" s="18">
        <v>500</v>
      </c>
      <c r="I17" s="1" t="s">
        <v>8</v>
      </c>
      <c r="J17" s="31">
        <f>+D17</f>
        <v>9500</v>
      </c>
      <c r="K17" s="18">
        <v>3</v>
      </c>
      <c r="L17" s="1" t="s">
        <v>8</v>
      </c>
      <c r="M17" s="28">
        <f>+G17*K17</f>
        <v>14250</v>
      </c>
      <c r="O17" s="1" t="s">
        <v>16</v>
      </c>
      <c r="P17" s="1">
        <v>6</v>
      </c>
      <c r="Q17" s="1" t="s">
        <v>20</v>
      </c>
      <c r="R17" s="44">
        <v>3115</v>
      </c>
      <c r="S17" s="7">
        <f>+R17*P17</f>
        <v>18690</v>
      </c>
    </row>
    <row r="18" spans="1:19" ht="15.75" thickBot="1" x14ac:dyDescent="0.3">
      <c r="A18" s="20" t="s">
        <v>37</v>
      </c>
      <c r="B18" s="43" t="s">
        <v>42</v>
      </c>
      <c r="C18" s="1" t="s">
        <v>12</v>
      </c>
      <c r="D18" s="31">
        <v>650</v>
      </c>
      <c r="E18" s="18">
        <v>4</v>
      </c>
      <c r="F18" s="1" t="s">
        <v>12</v>
      </c>
      <c r="G18" s="32">
        <f>+D18*E18</f>
        <v>2600</v>
      </c>
      <c r="H18" s="18">
        <v>8</v>
      </c>
      <c r="I18" s="1" t="s">
        <v>12</v>
      </c>
      <c r="J18" s="31">
        <f>+H18*D18</f>
        <v>5200</v>
      </c>
      <c r="K18" s="18">
        <f>8*2</f>
        <v>16</v>
      </c>
      <c r="L18" s="1" t="s">
        <v>12</v>
      </c>
      <c r="M18" s="28">
        <f>+K18*D18</f>
        <v>10400</v>
      </c>
      <c r="O18" s="1" t="s">
        <v>17</v>
      </c>
      <c r="P18" s="1">
        <v>3</v>
      </c>
      <c r="Q18" s="1" t="s">
        <v>18</v>
      </c>
      <c r="R18" s="44">
        <v>2744</v>
      </c>
      <c r="S18" s="7">
        <f>+R18*P18</f>
        <v>8232</v>
      </c>
    </row>
    <row r="19" spans="1:19" ht="15.75" thickBot="1" x14ac:dyDescent="0.3">
      <c r="A19" s="20" t="s">
        <v>38</v>
      </c>
      <c r="B19" s="1">
        <v>500</v>
      </c>
      <c r="C19" s="1" t="s">
        <v>11</v>
      </c>
      <c r="D19" s="31">
        <v>5700</v>
      </c>
      <c r="E19" s="18">
        <v>150</v>
      </c>
      <c r="F19" s="1" t="s">
        <v>11</v>
      </c>
      <c r="G19" s="32">
        <f>+E19*A13</f>
        <v>1710</v>
      </c>
      <c r="H19" s="18">
        <f>150*2</f>
        <v>300</v>
      </c>
      <c r="I19" s="1" t="s">
        <v>11</v>
      </c>
      <c r="J19" s="31">
        <f>+H19*A13</f>
        <v>3420</v>
      </c>
      <c r="K19" s="18">
        <f>+E19*3</f>
        <v>450</v>
      </c>
      <c r="L19" s="1" t="s">
        <v>11</v>
      </c>
      <c r="M19" s="28">
        <f>+K19*A13</f>
        <v>5130</v>
      </c>
      <c r="O19" s="1" t="s">
        <v>19</v>
      </c>
      <c r="P19" s="1">
        <v>5</v>
      </c>
      <c r="Q19" s="1" t="s">
        <v>20</v>
      </c>
      <c r="R19" s="44">
        <v>2744</v>
      </c>
      <c r="S19" s="7">
        <f>+R19*P19</f>
        <v>13720</v>
      </c>
    </row>
    <row r="20" spans="1:19" ht="15.75" thickBot="1" x14ac:dyDescent="0.3">
      <c r="A20" s="20" t="s">
        <v>40</v>
      </c>
      <c r="B20" s="36">
        <v>6000</v>
      </c>
      <c r="C20" s="36" t="s">
        <v>11</v>
      </c>
      <c r="D20" s="37">
        <v>2700</v>
      </c>
      <c r="E20" s="38">
        <v>130</v>
      </c>
      <c r="F20" s="36" t="s">
        <v>11</v>
      </c>
      <c r="G20" s="39">
        <f>+E20*B13</f>
        <v>58.5</v>
      </c>
      <c r="H20" s="38">
        <f>130*2</f>
        <v>260</v>
      </c>
      <c r="I20" s="36" t="s">
        <v>11</v>
      </c>
      <c r="J20" s="37">
        <f>+H20*B13</f>
        <v>117</v>
      </c>
      <c r="K20" s="38">
        <f>+E20*3</f>
        <v>390</v>
      </c>
      <c r="L20" s="36" t="s">
        <v>11</v>
      </c>
      <c r="M20" s="40">
        <f>+K20*B13</f>
        <v>175.5</v>
      </c>
      <c r="O20" s="118" t="s">
        <v>44</v>
      </c>
      <c r="P20" s="119"/>
      <c r="Q20" s="119"/>
      <c r="R20" s="120"/>
      <c r="S20" s="48">
        <f>+SUM(S$17:S$19)</f>
        <v>40642</v>
      </c>
    </row>
    <row r="21" spans="1:19" ht="15.75" thickBot="1" x14ac:dyDescent="0.3">
      <c r="A21" s="35" t="s">
        <v>46</v>
      </c>
      <c r="B21" s="1">
        <v>1</v>
      </c>
      <c r="C21" s="1" t="s">
        <v>12</v>
      </c>
      <c r="D21" s="42"/>
      <c r="E21" s="18"/>
      <c r="F21" s="1"/>
      <c r="G21" s="42"/>
      <c r="H21" s="18"/>
      <c r="I21" s="1"/>
      <c r="J21" s="42"/>
      <c r="K21" s="18"/>
      <c r="L21" s="1"/>
      <c r="M21" s="1"/>
      <c r="O21" s="121" t="s">
        <v>41</v>
      </c>
      <c r="P21" s="121"/>
      <c r="Q21" s="121"/>
      <c r="R21" s="121"/>
      <c r="S21" s="121"/>
    </row>
    <row r="22" spans="1:19" ht="15.75" thickBot="1" x14ac:dyDescent="0.3">
      <c r="A22" s="21" t="s">
        <v>44</v>
      </c>
      <c r="B22" s="33"/>
      <c r="C22" s="34"/>
      <c r="D22" s="41">
        <f>+SUM(D17:D21)</f>
        <v>18550</v>
      </c>
      <c r="E22" s="33" t="s">
        <v>44</v>
      </c>
      <c r="F22" s="34"/>
      <c r="G22" s="51">
        <f>+SUM(G17:G21)</f>
        <v>9118.5</v>
      </c>
      <c r="H22" s="33" t="s">
        <v>44</v>
      </c>
      <c r="I22" s="34"/>
      <c r="J22" s="51">
        <f>+SUM(J17:J21)</f>
        <v>18237</v>
      </c>
      <c r="K22" s="33" t="s">
        <v>44</v>
      </c>
      <c r="L22" s="34"/>
      <c r="M22" s="50">
        <f>+SUM(M17:M21)</f>
        <v>29955.5</v>
      </c>
      <c r="O22" s="1" t="s">
        <v>16</v>
      </c>
      <c r="P22" s="1">
        <v>6.3</v>
      </c>
      <c r="Q22" s="1" t="s">
        <v>20</v>
      </c>
      <c r="R22" s="7">
        <v>3115</v>
      </c>
      <c r="S22" s="28">
        <f>+R22*P22</f>
        <v>19624.5</v>
      </c>
    </row>
    <row r="23" spans="1:19" ht="15.75" thickBot="1" x14ac:dyDescent="0.3">
      <c r="O23" s="1" t="s">
        <v>17</v>
      </c>
      <c r="P23" s="1">
        <v>3.3</v>
      </c>
      <c r="Q23" s="1" t="s">
        <v>18</v>
      </c>
      <c r="R23" s="7">
        <v>2744</v>
      </c>
      <c r="S23" s="28">
        <f>+R23*P23</f>
        <v>9055.1999999999989</v>
      </c>
    </row>
    <row r="24" spans="1:19" ht="15.75" thickBot="1" x14ac:dyDescent="0.3">
      <c r="O24" s="1" t="s">
        <v>19</v>
      </c>
      <c r="P24" s="1">
        <v>5.3</v>
      </c>
      <c r="Q24" s="1" t="s">
        <v>20</v>
      </c>
      <c r="R24" s="7">
        <v>2744</v>
      </c>
      <c r="S24" s="28">
        <f>+R24*P24</f>
        <v>14543.199999999999</v>
      </c>
    </row>
    <row r="25" spans="1:19" ht="15.75" thickBot="1" x14ac:dyDescent="0.3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O25" s="118" t="s">
        <v>44</v>
      </c>
      <c r="P25" s="119"/>
      <c r="Q25" s="119"/>
      <c r="R25" s="120"/>
      <c r="S25" s="49">
        <f>+SUM(S22:S24)</f>
        <v>43222.899999999994</v>
      </c>
    </row>
    <row r="26" spans="1:19" ht="15.75" thickBot="1" x14ac:dyDescent="0.3">
      <c r="A26" s="26">
        <f>+D29/B29</f>
        <v>64.8</v>
      </c>
      <c r="B26" s="26">
        <f>+D30/B30</f>
        <v>24.75</v>
      </c>
      <c r="C26" s="26">
        <f>+D31/B31</f>
        <v>6.4</v>
      </c>
      <c r="D26" s="26">
        <f>+D32/B32</f>
        <v>68.333333333333329</v>
      </c>
      <c r="E26" s="27">
        <f>+D26*5</f>
        <v>341.66666666666663</v>
      </c>
      <c r="O26" s="121" t="s">
        <v>43</v>
      </c>
      <c r="P26" s="121"/>
      <c r="Q26" s="121"/>
      <c r="R26" s="121"/>
      <c r="S26" s="121"/>
    </row>
    <row r="27" spans="1:19" ht="15.75" thickBot="1" x14ac:dyDescent="0.3">
      <c r="A27" s="121" t="s">
        <v>47</v>
      </c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O27" s="1" t="s">
        <v>16</v>
      </c>
      <c r="P27" s="1">
        <v>7</v>
      </c>
      <c r="Q27" s="1" t="s">
        <v>20</v>
      </c>
      <c r="R27" s="7">
        <v>3115</v>
      </c>
      <c r="S27" s="28">
        <f>+R27*P27</f>
        <v>21805</v>
      </c>
    </row>
    <row r="28" spans="1:19" ht="15.75" thickBot="1" x14ac:dyDescent="0.3">
      <c r="A28" s="121" t="s">
        <v>13</v>
      </c>
      <c r="B28" s="121"/>
      <c r="C28" s="121"/>
      <c r="D28" s="121"/>
      <c r="E28" s="121" t="s">
        <v>39</v>
      </c>
      <c r="F28" s="121"/>
      <c r="G28" s="121"/>
      <c r="H28" s="121" t="s">
        <v>41</v>
      </c>
      <c r="I28" s="122"/>
      <c r="J28" s="122"/>
      <c r="K28" s="121" t="s">
        <v>43</v>
      </c>
      <c r="L28" s="122"/>
      <c r="M28" s="122"/>
      <c r="O28" s="1" t="s">
        <v>17</v>
      </c>
      <c r="P28" s="1">
        <v>4</v>
      </c>
      <c r="Q28" s="1" t="s">
        <v>18</v>
      </c>
      <c r="R28" s="7">
        <v>2744</v>
      </c>
      <c r="S28" s="28">
        <f>+R28*P28</f>
        <v>10976</v>
      </c>
    </row>
    <row r="29" spans="1:19" ht="15.75" thickBot="1" x14ac:dyDescent="0.3">
      <c r="A29" s="1" t="s">
        <v>50</v>
      </c>
      <c r="B29" s="1">
        <v>125</v>
      </c>
      <c r="C29" s="1" t="s">
        <v>8</v>
      </c>
      <c r="D29" s="7">
        <v>8100</v>
      </c>
      <c r="E29" s="1">
        <v>80</v>
      </c>
      <c r="F29" s="1" t="s">
        <v>8</v>
      </c>
      <c r="G29" s="30">
        <f>+E29*A26</f>
        <v>5184</v>
      </c>
      <c r="H29" s="1">
        <f>40*3</f>
        <v>120</v>
      </c>
      <c r="I29" s="1" t="s">
        <v>8</v>
      </c>
      <c r="J29" s="28">
        <f>+H29*A26</f>
        <v>7776</v>
      </c>
      <c r="K29" s="1">
        <f>40*4</f>
        <v>160</v>
      </c>
      <c r="L29" s="1" t="s">
        <v>8</v>
      </c>
      <c r="M29" s="28">
        <f>+K29*A26</f>
        <v>10368</v>
      </c>
      <c r="O29" s="1" t="s">
        <v>19</v>
      </c>
      <c r="P29" s="1">
        <v>6</v>
      </c>
      <c r="Q29" s="1" t="s">
        <v>20</v>
      </c>
      <c r="R29" s="7">
        <v>2744</v>
      </c>
      <c r="S29" s="28">
        <f>+R29*P29</f>
        <v>16464</v>
      </c>
    </row>
    <row r="30" spans="1:19" ht="15.75" thickBot="1" x14ac:dyDescent="0.3">
      <c r="A30" s="1" t="s">
        <v>51</v>
      </c>
      <c r="B30" s="1">
        <v>400</v>
      </c>
      <c r="C30" s="1" t="s">
        <v>8</v>
      </c>
      <c r="D30" s="7">
        <v>9900</v>
      </c>
      <c r="E30" s="1">
        <v>160</v>
      </c>
      <c r="F30" s="1" t="s">
        <v>8</v>
      </c>
      <c r="G30" s="30">
        <f>+E30+B26</f>
        <v>184.75</v>
      </c>
      <c r="H30" s="1">
        <f>80*3</f>
        <v>240</v>
      </c>
      <c r="I30" s="1" t="s">
        <v>8</v>
      </c>
      <c r="J30" s="28">
        <f>+H30*B26</f>
        <v>5940</v>
      </c>
      <c r="K30" s="1">
        <f>80*4</f>
        <v>320</v>
      </c>
      <c r="L30" s="1" t="s">
        <v>8</v>
      </c>
      <c r="M30" s="28">
        <f>+K30*B26</f>
        <v>7920</v>
      </c>
      <c r="O30" s="118" t="s">
        <v>44</v>
      </c>
      <c r="P30" s="119"/>
      <c r="Q30" s="119"/>
      <c r="R30" s="120"/>
      <c r="S30" s="49">
        <f>+SUM(S27:S29)</f>
        <v>49245</v>
      </c>
    </row>
    <row r="31" spans="1:19" ht="15.75" thickBot="1" x14ac:dyDescent="0.3">
      <c r="A31" s="1" t="s">
        <v>48</v>
      </c>
      <c r="B31" s="1">
        <v>500</v>
      </c>
      <c r="C31" s="1" t="s">
        <v>8</v>
      </c>
      <c r="D31" s="7">
        <v>3200</v>
      </c>
      <c r="E31" s="1">
        <v>80</v>
      </c>
      <c r="F31" s="1" t="s">
        <v>8</v>
      </c>
      <c r="G31" s="30">
        <f>+E31*C26</f>
        <v>512</v>
      </c>
      <c r="H31" s="1">
        <f>40*3</f>
        <v>120</v>
      </c>
      <c r="I31" s="1" t="s">
        <v>8</v>
      </c>
      <c r="J31" s="28">
        <f>+H31*C26</f>
        <v>768</v>
      </c>
      <c r="K31" s="1">
        <f>40*4</f>
        <v>160</v>
      </c>
      <c r="L31" s="1" t="s">
        <v>8</v>
      </c>
      <c r="M31" s="28">
        <f>+K31*C26</f>
        <v>1024</v>
      </c>
    </row>
    <row r="32" spans="1:19" ht="15.75" thickBot="1" x14ac:dyDescent="0.3">
      <c r="A32" s="1" t="s">
        <v>49</v>
      </c>
      <c r="B32" s="1">
        <v>60</v>
      </c>
      <c r="C32" s="1" t="s">
        <v>11</v>
      </c>
      <c r="D32" s="4">
        <v>4100</v>
      </c>
      <c r="E32" s="1">
        <v>2</v>
      </c>
      <c r="F32" s="1" t="s">
        <v>57</v>
      </c>
      <c r="G32" s="30">
        <f>+E26*E32</f>
        <v>683.33333333333326</v>
      </c>
      <c r="H32" s="1">
        <v>3</v>
      </c>
      <c r="I32" s="1" t="s">
        <v>57</v>
      </c>
      <c r="J32" s="28">
        <f>+E26*H32</f>
        <v>1025</v>
      </c>
      <c r="K32" s="1">
        <v>4</v>
      </c>
      <c r="L32" s="1" t="s">
        <v>57</v>
      </c>
      <c r="M32" s="28">
        <f>+K32*E26</f>
        <v>1366.6666666666665</v>
      </c>
    </row>
    <row r="33" spans="1:18" ht="15.75" thickBot="1" x14ac:dyDescent="0.3">
      <c r="A33" s="21" t="s">
        <v>44</v>
      </c>
      <c r="B33" s="17"/>
      <c r="C33" s="13"/>
      <c r="D33" s="7">
        <f>+SUM(D29:D32)</f>
        <v>25300</v>
      </c>
      <c r="E33" s="124"/>
      <c r="F33" s="125"/>
      <c r="G33" s="52">
        <f>+SUM(G29:G32)</f>
        <v>6564.083333333333</v>
      </c>
      <c r="H33" s="124"/>
      <c r="I33" s="125"/>
      <c r="J33" s="49">
        <f>+SUM(J29:J32)</f>
        <v>15509</v>
      </c>
      <c r="K33" s="124"/>
      <c r="L33" s="125"/>
      <c r="M33" s="49">
        <f>+SUM(M29:M32)</f>
        <v>20678.666666666668</v>
      </c>
      <c r="O33" s="122" t="s">
        <v>23</v>
      </c>
      <c r="P33" s="122"/>
      <c r="Q33" s="10">
        <v>0.25</v>
      </c>
    </row>
    <row r="34" spans="1:18" ht="15.75" thickBot="1" x14ac:dyDescent="0.3">
      <c r="O34" s="152" t="s">
        <v>28</v>
      </c>
      <c r="P34" s="152"/>
      <c r="Q34" s="45">
        <v>0.15</v>
      </c>
    </row>
    <row r="35" spans="1:18" x14ac:dyDescent="0.25">
      <c r="P35" s="29"/>
    </row>
    <row r="36" spans="1:18" ht="15.75" thickBot="1" x14ac:dyDescent="0.3">
      <c r="P36" s="29"/>
    </row>
    <row r="37" spans="1:18" ht="15.75" thickBot="1" x14ac:dyDescent="0.3">
      <c r="O37" s="123" t="s">
        <v>22</v>
      </c>
      <c r="P37" s="123"/>
      <c r="Q37" s="123"/>
      <c r="R37" s="9">
        <v>4833</v>
      </c>
    </row>
    <row r="38" spans="1:18" ht="15.75" thickBot="1" x14ac:dyDescent="0.3">
      <c r="P38" s="29"/>
    </row>
    <row r="39" spans="1:18" ht="15.75" thickBot="1" x14ac:dyDescent="0.3">
      <c r="O39" s="124" t="s">
        <v>21</v>
      </c>
      <c r="P39" s="125"/>
      <c r="Q39" s="1">
        <v>6</v>
      </c>
      <c r="R39" s="7">
        <f>+Q39*R37</f>
        <v>28998</v>
      </c>
    </row>
    <row r="40" spans="1:18" ht="15.75" thickBot="1" x14ac:dyDescent="0.3"/>
    <row r="41" spans="1:18" ht="15.75" thickBot="1" x14ac:dyDescent="0.3">
      <c r="O41" s="122" t="s">
        <v>24</v>
      </c>
      <c r="P41" s="122"/>
      <c r="Q41" s="10">
        <v>0.02</v>
      </c>
    </row>
    <row r="46" spans="1:18" x14ac:dyDescent="0.25">
      <c r="O46" s="24"/>
    </row>
    <row r="47" spans="1:18" ht="15.75" thickBot="1" x14ac:dyDescent="0.3"/>
    <row r="48" spans="1:18" ht="15.75" thickBot="1" x14ac:dyDescent="0.3">
      <c r="B48" s="121" t="s">
        <v>60</v>
      </c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</row>
    <row r="49" spans="2:15" ht="15.75" thickBot="1" x14ac:dyDescent="0.3">
      <c r="B49" s="1"/>
      <c r="C49" s="22" t="s">
        <v>30</v>
      </c>
      <c r="D49" s="121" t="s">
        <v>58</v>
      </c>
      <c r="E49" s="121"/>
      <c r="F49" s="121" t="s">
        <v>29</v>
      </c>
      <c r="G49" s="121"/>
      <c r="H49" s="53"/>
      <c r="I49" s="121" t="s">
        <v>59</v>
      </c>
      <c r="J49" s="121"/>
      <c r="K49" s="121" t="s">
        <v>32</v>
      </c>
      <c r="L49" s="121"/>
      <c r="M49" s="121"/>
      <c r="N49" s="2" t="s">
        <v>33</v>
      </c>
      <c r="O49" s="54"/>
    </row>
    <row r="50" spans="2:15" ht="15.75" thickBot="1" x14ac:dyDescent="0.3">
      <c r="B50" s="22" t="s">
        <v>39</v>
      </c>
      <c r="C50" s="7">
        <f>+G22+G33</f>
        <v>15682.583333333332</v>
      </c>
      <c r="D50" s="126">
        <f>+S20</f>
        <v>40642</v>
      </c>
      <c r="E50" s="125"/>
      <c r="F50" s="128">
        <f>+R37*6</f>
        <v>28998</v>
      </c>
      <c r="G50" s="129"/>
      <c r="H50" s="9">
        <f>+SUM(C50:G50)</f>
        <v>85322.583333333328</v>
      </c>
      <c r="I50" s="128">
        <f>+H50*Q33</f>
        <v>21330.645833333332</v>
      </c>
      <c r="J50" s="129"/>
      <c r="K50" s="128">
        <f>+H50*Q41</f>
        <v>1706.4516666666666</v>
      </c>
      <c r="L50" s="130"/>
      <c r="M50" s="129"/>
      <c r="N50" s="7">
        <f>+SUM(H50:M50)</f>
        <v>108359.68083333332</v>
      </c>
    </row>
    <row r="51" spans="2:15" ht="15.75" thickBot="1" x14ac:dyDescent="0.3">
      <c r="B51" s="22" t="s">
        <v>41</v>
      </c>
      <c r="C51" s="7">
        <f>+J22+J33</f>
        <v>33746</v>
      </c>
      <c r="D51" s="126">
        <f>+S25</f>
        <v>43222.899999999994</v>
      </c>
      <c r="E51" s="125"/>
      <c r="F51" s="128">
        <f>+R37*6.3</f>
        <v>30447.899999999998</v>
      </c>
      <c r="G51" s="129"/>
      <c r="H51" s="9">
        <f>+SUM(C51:G51)</f>
        <v>107416.79999999999</v>
      </c>
      <c r="I51" s="128">
        <f>+H51*Q33</f>
        <v>26854.199999999997</v>
      </c>
      <c r="J51" s="129"/>
      <c r="K51" s="128">
        <f>+H51*Q41</f>
        <v>2148.3359999999998</v>
      </c>
      <c r="L51" s="130"/>
      <c r="M51" s="129"/>
      <c r="N51" s="7">
        <f>+SUM(H51:M51)</f>
        <v>136419.33600000001</v>
      </c>
    </row>
    <row r="52" spans="2:15" ht="15.75" thickBot="1" x14ac:dyDescent="0.3">
      <c r="B52" s="22" t="s">
        <v>43</v>
      </c>
      <c r="C52" s="30">
        <f>+M22+M33</f>
        <v>50634.166666666672</v>
      </c>
      <c r="D52" s="126">
        <f>+S30</f>
        <v>49245</v>
      </c>
      <c r="E52" s="127"/>
      <c r="F52" s="128">
        <f>+R37*7</f>
        <v>33831</v>
      </c>
      <c r="G52" s="129"/>
      <c r="H52" s="9">
        <f>+SUM(C52:G52)</f>
        <v>133710.16666666669</v>
      </c>
      <c r="I52" s="128">
        <f>+H52*Q33</f>
        <v>33427.541666666672</v>
      </c>
      <c r="J52" s="129"/>
      <c r="K52" s="128">
        <f>+H52*Q41</f>
        <v>2674.2033333333338</v>
      </c>
      <c r="L52" s="130"/>
      <c r="M52" s="129"/>
      <c r="N52" s="7">
        <f>+SUM(H52:M52)</f>
        <v>169811.91166666671</v>
      </c>
    </row>
  </sheetData>
  <mergeCells count="44">
    <mergeCell ref="F52:G52"/>
    <mergeCell ref="I52:J52"/>
    <mergeCell ref="K52:M52"/>
    <mergeCell ref="D52:E52"/>
    <mergeCell ref="B48:N48"/>
    <mergeCell ref="D50:E50"/>
    <mergeCell ref="D51:E51"/>
    <mergeCell ref="D49:E49"/>
    <mergeCell ref="O30:R30"/>
    <mergeCell ref="F50:G50"/>
    <mergeCell ref="F51:G51"/>
    <mergeCell ref="I50:J50"/>
    <mergeCell ref="I51:J51"/>
    <mergeCell ref="K50:M50"/>
    <mergeCell ref="K51:M51"/>
    <mergeCell ref="F49:G49"/>
    <mergeCell ref="I49:J49"/>
    <mergeCell ref="K49:M49"/>
    <mergeCell ref="E33:F33"/>
    <mergeCell ref="H33:I33"/>
    <mergeCell ref="K33:L33"/>
    <mergeCell ref="O41:P41"/>
    <mergeCell ref="O34:P34"/>
    <mergeCell ref="N14:P14"/>
    <mergeCell ref="A15:M15"/>
    <mergeCell ref="O33:P33"/>
    <mergeCell ref="O37:Q37"/>
    <mergeCell ref="O39:P39"/>
    <mergeCell ref="A27:M27"/>
    <mergeCell ref="A28:D28"/>
    <mergeCell ref="E28:G28"/>
    <mergeCell ref="H28:J28"/>
    <mergeCell ref="K28:M28"/>
    <mergeCell ref="O16:S16"/>
    <mergeCell ref="O15:S15"/>
    <mergeCell ref="O21:S21"/>
    <mergeCell ref="O20:R20"/>
    <mergeCell ref="O26:S26"/>
    <mergeCell ref="O25:R25"/>
    <mergeCell ref="A1:E11"/>
    <mergeCell ref="E16:G16"/>
    <mergeCell ref="A16:D16"/>
    <mergeCell ref="H16:J16"/>
    <mergeCell ref="K16:M16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42B-F904-4EA2-A7AA-56B46CF62B1A}">
  <dimension ref="A3:T59"/>
  <sheetViews>
    <sheetView topLeftCell="C25" zoomScale="90" workbookViewId="0">
      <selection activeCell="I46" sqref="I46:J46"/>
    </sheetView>
  </sheetViews>
  <sheetFormatPr baseColWidth="10" defaultRowHeight="15" x14ac:dyDescent="0.25"/>
  <cols>
    <col min="1" max="1" width="13.85546875" customWidth="1"/>
    <col min="5" max="5" width="15.7109375" customWidth="1"/>
    <col min="8" max="8" width="12.140625" bestFit="1" customWidth="1"/>
    <col min="16" max="16" width="16.7109375" customWidth="1"/>
  </cols>
  <sheetData>
    <row r="3" spans="2:20" ht="15.75" thickBot="1" x14ac:dyDescent="0.3"/>
    <row r="4" spans="2:20" ht="15.75" thickBot="1" x14ac:dyDescent="0.3">
      <c r="P4" s="122" t="s">
        <v>240</v>
      </c>
      <c r="Q4" s="122"/>
      <c r="R4" s="122"/>
    </row>
    <row r="5" spans="2:20" ht="15.75" thickBot="1" x14ac:dyDescent="0.3">
      <c r="P5" s="1" t="s">
        <v>241</v>
      </c>
      <c r="Q5" s="1">
        <v>400</v>
      </c>
      <c r="R5" s="1" t="s">
        <v>8</v>
      </c>
    </row>
    <row r="6" spans="2:20" ht="15.75" thickBot="1" x14ac:dyDescent="0.3">
      <c r="P6" s="1" t="s">
        <v>242</v>
      </c>
      <c r="Q6" s="1">
        <v>500</v>
      </c>
      <c r="R6" s="1" t="s">
        <v>8</v>
      </c>
    </row>
    <row r="7" spans="2:20" ht="15.75" thickBot="1" x14ac:dyDescent="0.3">
      <c r="P7" s="1" t="s">
        <v>120</v>
      </c>
      <c r="Q7" s="1">
        <v>600</v>
      </c>
      <c r="R7" s="1" t="s">
        <v>8</v>
      </c>
    </row>
    <row r="8" spans="2:20" x14ac:dyDescent="0.25">
      <c r="Q8">
        <f>+SUM(Q5:Q7)</f>
        <v>1500</v>
      </c>
    </row>
    <row r="10" spans="2:20" x14ac:dyDescent="0.25">
      <c r="D10" t="s">
        <v>232</v>
      </c>
      <c r="E10" t="s">
        <v>233</v>
      </c>
    </row>
    <row r="11" spans="2:20" ht="15.75" thickBot="1" x14ac:dyDescent="0.3">
      <c r="D11">
        <f>+E17/C17</f>
        <v>11.4</v>
      </c>
      <c r="E11">
        <f>+E18/C18</f>
        <v>0.45</v>
      </c>
      <c r="F11" s="25"/>
      <c r="P11" s="115"/>
    </row>
    <row r="12" spans="2:20" ht="15.75" thickBot="1" x14ac:dyDescent="0.3">
      <c r="B12" s="121" t="s">
        <v>45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P12" s="121" t="s">
        <v>58</v>
      </c>
      <c r="Q12" s="121"/>
      <c r="R12" s="121"/>
      <c r="S12" s="121"/>
      <c r="T12" s="121"/>
    </row>
    <row r="13" spans="2:20" ht="15.75" thickBot="1" x14ac:dyDescent="0.3">
      <c r="B13" s="148" t="s">
        <v>13</v>
      </c>
      <c r="C13" s="146"/>
      <c r="D13" s="146"/>
      <c r="E13" s="147"/>
      <c r="F13" s="146" t="s">
        <v>39</v>
      </c>
      <c r="G13" s="146"/>
      <c r="H13" s="147"/>
      <c r="I13" s="149" t="s">
        <v>41</v>
      </c>
      <c r="J13" s="150"/>
      <c r="K13" s="151"/>
      <c r="L13" s="149" t="s">
        <v>43</v>
      </c>
      <c r="M13" s="150"/>
      <c r="N13" s="150"/>
      <c r="P13" s="121" t="s">
        <v>39</v>
      </c>
      <c r="Q13" s="121"/>
      <c r="R13" s="121"/>
      <c r="S13" s="121"/>
      <c r="T13" s="121"/>
    </row>
    <row r="14" spans="2:20" ht="15.75" thickBot="1" x14ac:dyDescent="0.3">
      <c r="F14" s="132" t="s">
        <v>236</v>
      </c>
      <c r="G14" s="132"/>
      <c r="H14" s="132"/>
      <c r="P14" s="1" t="s">
        <v>16</v>
      </c>
      <c r="Q14" s="1">
        <v>4</v>
      </c>
      <c r="R14" s="1" t="s">
        <v>20</v>
      </c>
      <c r="S14" s="44">
        <v>3115</v>
      </c>
      <c r="T14" s="7">
        <f>+S14*Q14</f>
        <v>12460</v>
      </c>
    </row>
    <row r="15" spans="2:20" ht="15.75" thickBot="1" x14ac:dyDescent="0.3">
      <c r="B15" s="20" t="s">
        <v>36</v>
      </c>
      <c r="C15" s="43">
        <v>500</v>
      </c>
      <c r="D15" s="1" t="s">
        <v>8</v>
      </c>
      <c r="E15" s="31">
        <v>9500</v>
      </c>
      <c r="F15" s="18">
        <v>250</v>
      </c>
      <c r="G15" s="1" t="s">
        <v>8</v>
      </c>
      <c r="H15" s="32">
        <v>4750</v>
      </c>
      <c r="I15" s="18">
        <v>500</v>
      </c>
      <c r="J15" s="1" t="s">
        <v>8</v>
      </c>
      <c r="K15" s="31">
        <v>11000</v>
      </c>
      <c r="L15" s="18">
        <v>3</v>
      </c>
      <c r="M15" s="1" t="s">
        <v>8</v>
      </c>
      <c r="N15" s="28">
        <f>+H15*L15</f>
        <v>14250</v>
      </c>
      <c r="P15" s="1" t="s">
        <v>17</v>
      </c>
      <c r="Q15" s="1">
        <v>4</v>
      </c>
      <c r="R15" s="1" t="s">
        <v>18</v>
      </c>
      <c r="S15" s="44">
        <v>2744</v>
      </c>
      <c r="T15" s="7">
        <f>+S15*Q15</f>
        <v>10976</v>
      </c>
    </row>
    <row r="16" spans="2:20" ht="15.75" thickBot="1" x14ac:dyDescent="0.3">
      <c r="B16" s="20" t="s">
        <v>37</v>
      </c>
      <c r="C16" s="43" t="s">
        <v>42</v>
      </c>
      <c r="D16" s="1" t="s">
        <v>12</v>
      </c>
      <c r="E16" s="31">
        <v>600</v>
      </c>
      <c r="F16" s="18">
        <v>4</v>
      </c>
      <c r="G16" s="1" t="s">
        <v>12</v>
      </c>
      <c r="H16" s="32">
        <f>+E16*F16</f>
        <v>2400</v>
      </c>
      <c r="I16" s="18">
        <v>8</v>
      </c>
      <c r="J16" s="1" t="s">
        <v>12</v>
      </c>
      <c r="K16" s="31">
        <f>+I16*E16</f>
        <v>4800</v>
      </c>
      <c r="L16" s="18">
        <f>8*2</f>
        <v>16</v>
      </c>
      <c r="M16" s="1" t="s">
        <v>12</v>
      </c>
      <c r="N16" s="28">
        <f>+L16*E16</f>
        <v>9600</v>
      </c>
      <c r="P16" s="1" t="s">
        <v>19</v>
      </c>
      <c r="Q16" s="1">
        <v>4</v>
      </c>
      <c r="R16" s="1" t="s">
        <v>20</v>
      </c>
      <c r="S16" s="44">
        <v>2744</v>
      </c>
      <c r="T16" s="7">
        <f>+S16*Q16</f>
        <v>10976</v>
      </c>
    </row>
    <row r="17" spans="1:20" ht="15.75" thickBot="1" x14ac:dyDescent="0.3">
      <c r="B17" s="20" t="s">
        <v>38</v>
      </c>
      <c r="C17" s="1">
        <v>500</v>
      </c>
      <c r="D17" s="1" t="s">
        <v>11</v>
      </c>
      <c r="E17" s="31">
        <v>5700</v>
      </c>
      <c r="F17" s="18">
        <v>150</v>
      </c>
      <c r="G17" s="1" t="s">
        <v>11</v>
      </c>
      <c r="H17" s="32">
        <f>+F17*D11</f>
        <v>1710</v>
      </c>
      <c r="I17" s="18">
        <f>150*2</f>
        <v>300</v>
      </c>
      <c r="J17" s="1" t="s">
        <v>11</v>
      </c>
      <c r="K17" s="31">
        <f>+I17*D11</f>
        <v>3420</v>
      </c>
      <c r="L17" s="18">
        <f>+F17*3</f>
        <v>450</v>
      </c>
      <c r="M17" s="1" t="s">
        <v>11</v>
      </c>
      <c r="N17" s="28">
        <f>+D11*L17</f>
        <v>5130</v>
      </c>
      <c r="P17" s="118" t="s">
        <v>44</v>
      </c>
      <c r="Q17" s="119"/>
      <c r="R17" s="119"/>
      <c r="S17" s="120"/>
      <c r="T17" s="48"/>
    </row>
    <row r="18" spans="1:20" ht="15.75" thickBot="1" x14ac:dyDescent="0.3">
      <c r="B18" s="20" t="s">
        <v>40</v>
      </c>
      <c r="C18" s="36">
        <v>6000</v>
      </c>
      <c r="D18" s="36" t="s">
        <v>11</v>
      </c>
      <c r="E18" s="37">
        <v>2700</v>
      </c>
      <c r="F18" s="38">
        <v>130</v>
      </c>
      <c r="G18" s="36" t="s">
        <v>11</v>
      </c>
      <c r="H18" s="39">
        <f>+E11*F18</f>
        <v>58.5</v>
      </c>
      <c r="I18" s="38">
        <f>130*2</f>
        <v>260</v>
      </c>
      <c r="J18" s="36" t="s">
        <v>11</v>
      </c>
      <c r="K18" s="37">
        <f>+I18*E11</f>
        <v>117</v>
      </c>
      <c r="L18" s="38">
        <f>+F18*3</f>
        <v>390</v>
      </c>
      <c r="M18" s="36" t="s">
        <v>11</v>
      </c>
      <c r="N18" s="40">
        <f>+E11*L18</f>
        <v>175.5</v>
      </c>
      <c r="P18" s="121" t="s">
        <v>41</v>
      </c>
      <c r="Q18" s="121"/>
      <c r="R18" s="121"/>
      <c r="S18" s="121"/>
      <c r="T18" s="121"/>
    </row>
    <row r="19" spans="1:20" ht="15.75" thickBot="1" x14ac:dyDescent="0.3">
      <c r="B19" s="35" t="s">
        <v>46</v>
      </c>
      <c r="C19" s="1">
        <v>1</v>
      </c>
      <c r="D19" s="1" t="s">
        <v>12</v>
      </c>
      <c r="E19" s="112">
        <v>3000</v>
      </c>
      <c r="F19" s="18"/>
      <c r="G19" s="1"/>
      <c r="H19" s="113">
        <f>+E19</f>
        <v>3000</v>
      </c>
      <c r="I19" s="18"/>
      <c r="J19" s="1"/>
      <c r="K19" s="113">
        <f>+E19</f>
        <v>3000</v>
      </c>
      <c r="L19" s="18"/>
      <c r="M19" s="1"/>
      <c r="N19" s="30">
        <f>+E19</f>
        <v>3000</v>
      </c>
      <c r="P19" s="1" t="s">
        <v>16</v>
      </c>
      <c r="Q19" s="1">
        <v>4</v>
      </c>
      <c r="R19" s="1" t="s">
        <v>20</v>
      </c>
      <c r="S19" s="7">
        <v>3115</v>
      </c>
      <c r="T19" s="28">
        <f>+S19*Q19</f>
        <v>12460</v>
      </c>
    </row>
    <row r="20" spans="1:20" ht="15.75" thickBot="1" x14ac:dyDescent="0.3">
      <c r="B20" s="21" t="s">
        <v>44</v>
      </c>
      <c r="C20" s="33"/>
      <c r="D20" s="34"/>
      <c r="E20" s="41">
        <f>+SUM(E15:E19)</f>
        <v>21500</v>
      </c>
      <c r="F20" s="33" t="s">
        <v>44</v>
      </c>
      <c r="G20" s="34"/>
      <c r="H20" s="51">
        <f>+SUM(H15:H19)</f>
        <v>11918.5</v>
      </c>
      <c r="I20" s="33" t="s">
        <v>44</v>
      </c>
      <c r="J20" s="34"/>
      <c r="K20" s="51">
        <f>+SUM(K15:K19)</f>
        <v>22337</v>
      </c>
      <c r="L20" s="33" t="s">
        <v>44</v>
      </c>
      <c r="M20" s="34"/>
      <c r="N20" s="50">
        <f>+SUM(N15:N19)</f>
        <v>32155.5</v>
      </c>
      <c r="P20" s="1" t="s">
        <v>17</v>
      </c>
      <c r="Q20" s="1">
        <v>4</v>
      </c>
      <c r="R20" s="1" t="s">
        <v>18</v>
      </c>
      <c r="S20" s="7">
        <v>2744</v>
      </c>
      <c r="T20" s="28">
        <f>+S20*Q20</f>
        <v>10976</v>
      </c>
    </row>
    <row r="21" spans="1:20" ht="15.75" thickBot="1" x14ac:dyDescent="0.3">
      <c r="P21" s="1" t="s">
        <v>19</v>
      </c>
      <c r="Q21" s="1">
        <v>4</v>
      </c>
      <c r="R21" s="1" t="s">
        <v>20</v>
      </c>
      <c r="S21" s="7">
        <v>2744</v>
      </c>
      <c r="T21" s="28">
        <f>+S21*Q21</f>
        <v>10976</v>
      </c>
    </row>
    <row r="22" spans="1:20" ht="15.75" thickBot="1" x14ac:dyDescent="0.3">
      <c r="P22" s="118" t="s">
        <v>44</v>
      </c>
      <c r="Q22" s="119"/>
      <c r="R22" s="119"/>
      <c r="S22" s="120"/>
      <c r="T22" s="49"/>
    </row>
    <row r="23" spans="1:20" ht="15.75" thickBot="1" x14ac:dyDescent="0.3">
      <c r="A23" s="118" t="s">
        <v>234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20"/>
      <c r="P23" s="121" t="s">
        <v>43</v>
      </c>
      <c r="Q23" s="121"/>
      <c r="R23" s="121"/>
      <c r="S23" s="121"/>
      <c r="T23" s="121"/>
    </row>
    <row r="24" spans="1:20" ht="15.75" thickBot="1" x14ac:dyDescent="0.3">
      <c r="A24" s="121" t="s">
        <v>13</v>
      </c>
      <c r="B24" s="121"/>
      <c r="C24" s="121"/>
      <c r="D24" s="121"/>
      <c r="E24" s="121"/>
      <c r="F24" s="121" t="s">
        <v>39</v>
      </c>
      <c r="G24" s="121"/>
      <c r="H24" s="121"/>
      <c r="I24" s="121" t="s">
        <v>41</v>
      </c>
      <c r="J24" s="122"/>
      <c r="K24" s="122"/>
      <c r="L24" s="121" t="s">
        <v>43</v>
      </c>
      <c r="M24" s="122"/>
      <c r="N24" s="122"/>
      <c r="P24" s="1" t="s">
        <v>16</v>
      </c>
      <c r="Q24" s="1">
        <v>7</v>
      </c>
      <c r="R24" s="1" t="s">
        <v>20</v>
      </c>
      <c r="S24" s="7">
        <v>3115</v>
      </c>
      <c r="T24" s="28">
        <f>+S24*Q24</f>
        <v>21805</v>
      </c>
    </row>
    <row r="25" spans="1:20" ht="15.75" thickBot="1" x14ac:dyDescent="0.3">
      <c r="F25" s="122" t="s">
        <v>239</v>
      </c>
      <c r="G25" s="122"/>
      <c r="H25" s="122"/>
      <c r="I25" s="122" t="s">
        <v>238</v>
      </c>
      <c r="J25" s="122"/>
      <c r="K25" s="122"/>
      <c r="L25" s="122"/>
      <c r="M25" s="122"/>
      <c r="N25" s="122"/>
      <c r="P25" s="1" t="s">
        <v>17</v>
      </c>
      <c r="Q25" s="1">
        <v>4</v>
      </c>
      <c r="R25" s="1" t="s">
        <v>18</v>
      </c>
      <c r="S25" s="7">
        <v>2744</v>
      </c>
      <c r="T25" s="28">
        <f>+S25*Q25</f>
        <v>10976</v>
      </c>
    </row>
    <row r="26" spans="1:20" ht="15.75" thickBot="1" x14ac:dyDescent="0.3">
      <c r="A26" s="122" t="s">
        <v>228</v>
      </c>
      <c r="B26" s="122"/>
      <c r="C26" s="1">
        <v>500</v>
      </c>
      <c r="D26" s="1" t="s">
        <v>8</v>
      </c>
      <c r="E26" s="28">
        <v>5400</v>
      </c>
      <c r="F26" s="1">
        <v>400</v>
      </c>
      <c r="G26" s="1" t="s">
        <v>8</v>
      </c>
      <c r="H26" s="28">
        <f>+$E$26*2</f>
        <v>10800</v>
      </c>
      <c r="I26" s="1">
        <v>500</v>
      </c>
      <c r="J26" s="1" t="s">
        <v>8</v>
      </c>
      <c r="K26" s="28">
        <f>+$E$26*2</f>
        <v>10800</v>
      </c>
      <c r="L26" s="1">
        <f>+I26+F26</f>
        <v>900</v>
      </c>
      <c r="M26" s="1" t="s">
        <v>8</v>
      </c>
      <c r="N26" s="28" t="e">
        <f>+B38*#REF!</f>
        <v>#REF!</v>
      </c>
      <c r="P26" s="1" t="s">
        <v>19</v>
      </c>
      <c r="Q26" s="1">
        <v>6</v>
      </c>
      <c r="R26" s="1" t="s">
        <v>20</v>
      </c>
      <c r="S26" s="7">
        <v>2744</v>
      </c>
      <c r="T26" s="28">
        <f>+S26*Q26</f>
        <v>16464</v>
      </c>
    </row>
    <row r="27" spans="1:20" ht="15.75" thickBot="1" x14ac:dyDescent="0.3">
      <c r="A27" s="122" t="s">
        <v>251</v>
      </c>
      <c r="B27" s="122"/>
      <c r="C27" s="1">
        <v>500</v>
      </c>
      <c r="D27" s="1" t="s">
        <v>8</v>
      </c>
      <c r="E27" s="28">
        <v>3500</v>
      </c>
      <c r="F27" s="1">
        <v>500</v>
      </c>
      <c r="G27" s="1" t="s">
        <v>8</v>
      </c>
      <c r="H27" s="28">
        <f>+$E$27</f>
        <v>3500</v>
      </c>
      <c r="I27" s="1">
        <v>600</v>
      </c>
      <c r="J27" s="1" t="s">
        <v>8</v>
      </c>
      <c r="K27" s="28">
        <f>+$E$27</f>
        <v>3500</v>
      </c>
      <c r="L27" s="1">
        <f>+I27+F27</f>
        <v>1100</v>
      </c>
      <c r="M27" s="1" t="s">
        <v>8</v>
      </c>
      <c r="N27" s="28" t="e">
        <f>+L27*B32</f>
        <v>#REF!</v>
      </c>
      <c r="P27" s="118" t="s">
        <v>44</v>
      </c>
      <c r="Q27" s="119"/>
      <c r="R27" s="119"/>
      <c r="S27" s="120"/>
      <c r="T27" s="49"/>
    </row>
    <row r="28" spans="1:20" ht="15.75" thickBot="1" x14ac:dyDescent="0.3">
      <c r="A28" s="122"/>
      <c r="B28" s="122"/>
      <c r="C28" s="1"/>
      <c r="D28" s="1"/>
      <c r="E28" s="80"/>
      <c r="F28" s="1"/>
      <c r="G28" s="1"/>
      <c r="H28" s="28"/>
      <c r="I28" s="1"/>
      <c r="J28" s="1"/>
      <c r="K28" s="28"/>
      <c r="L28" s="1"/>
      <c r="M28" s="1"/>
      <c r="N28" s="28"/>
    </row>
    <row r="29" spans="1:20" ht="15.75" thickBot="1" x14ac:dyDescent="0.3">
      <c r="A29" s="121" t="s">
        <v>235</v>
      </c>
      <c r="B29" s="121"/>
      <c r="C29" s="121"/>
      <c r="D29" s="121"/>
      <c r="E29" s="114">
        <f>+SUM(E26:E28)</f>
        <v>8900</v>
      </c>
      <c r="F29" s="118" t="s">
        <v>33</v>
      </c>
      <c r="G29" s="120"/>
      <c r="H29" s="28">
        <f>+SUM(H26:H28)</f>
        <v>14300</v>
      </c>
      <c r="I29" s="118" t="s">
        <v>33</v>
      </c>
      <c r="J29" s="120"/>
      <c r="K29" s="28">
        <f>+SUM(K26:K28)</f>
        <v>14300</v>
      </c>
      <c r="L29" s="118" t="s">
        <v>33</v>
      </c>
      <c r="M29" s="125"/>
      <c r="N29" s="30" t="e">
        <f>+SUM(N26:N28)</f>
        <v>#REF!</v>
      </c>
    </row>
    <row r="30" spans="1:20" ht="15.75" thickBot="1" x14ac:dyDescent="0.3">
      <c r="A30" s="122" t="s">
        <v>237</v>
      </c>
      <c r="B30" s="122"/>
      <c r="C30" s="122"/>
      <c r="D30" s="122"/>
      <c r="E30" s="122"/>
      <c r="F30" s="153">
        <f>+SUM(F26:F28)</f>
        <v>900</v>
      </c>
      <c r="G30" s="125"/>
      <c r="H30" s="70" t="s">
        <v>8</v>
      </c>
      <c r="I30" s="153">
        <f>+SUM(I26:I28)</f>
        <v>1100</v>
      </c>
      <c r="J30" s="125"/>
      <c r="K30" s="1" t="s">
        <v>8</v>
      </c>
      <c r="L30" s="124">
        <f>+SUM(L26:L28)</f>
        <v>2000</v>
      </c>
      <c r="M30" s="125"/>
      <c r="N30" s="1" t="s">
        <v>8</v>
      </c>
      <c r="P30" s="122" t="s">
        <v>23</v>
      </c>
      <c r="Q30" s="122"/>
      <c r="R30" s="10">
        <v>0.15</v>
      </c>
    </row>
    <row r="31" spans="1:20" ht="15.75" thickBot="1" x14ac:dyDescent="0.3">
      <c r="B31" t="s">
        <v>121</v>
      </c>
      <c r="C31" t="s">
        <v>120</v>
      </c>
      <c r="P31" s="152" t="s">
        <v>28</v>
      </c>
      <c r="Q31" s="152"/>
      <c r="R31" s="45">
        <v>0.15</v>
      </c>
    </row>
    <row r="32" spans="1:20" x14ac:dyDescent="0.25">
      <c r="B32" t="e">
        <f>+#REF!/#REF!</f>
        <v>#REF!</v>
      </c>
      <c r="C32" t="e">
        <f>+E28/C28</f>
        <v>#DIV/0!</v>
      </c>
      <c r="Q32" s="29"/>
    </row>
    <row r="33" spans="1:20" ht="15.75" thickBot="1" x14ac:dyDescent="0.3">
      <c r="Q33" s="29"/>
    </row>
    <row r="34" spans="1:20" ht="15.75" thickBot="1" x14ac:dyDescent="0.3">
      <c r="A34" s="144" t="s">
        <v>245</v>
      </c>
      <c r="B34" s="144"/>
      <c r="C34" s="144"/>
      <c r="K34" s="115"/>
      <c r="P34" s="123" t="s">
        <v>22</v>
      </c>
      <c r="Q34" s="123"/>
      <c r="R34" s="123"/>
      <c r="S34" s="9">
        <v>4833</v>
      </c>
    </row>
    <row r="35" spans="1:20" ht="15.75" thickBot="1" x14ac:dyDescent="0.3">
      <c r="A35" s="1" t="s">
        <v>243</v>
      </c>
      <c r="B35" s="1" t="s">
        <v>244</v>
      </c>
      <c r="C35" s="1"/>
      <c r="Q35" s="29"/>
    </row>
    <row r="36" spans="1:20" ht="15.75" thickBot="1" x14ac:dyDescent="0.3">
      <c r="A36" s="1">
        <v>30</v>
      </c>
      <c r="B36" s="1">
        <v>14</v>
      </c>
      <c r="C36" s="1">
        <f>+A36*B36</f>
        <v>420</v>
      </c>
      <c r="P36" s="124" t="s">
        <v>21</v>
      </c>
      <c r="Q36" s="125"/>
      <c r="R36" s="116" t="s">
        <v>246</v>
      </c>
      <c r="S36" s="1">
        <v>7</v>
      </c>
      <c r="T36" s="7">
        <f>+S36*S34</f>
        <v>33831</v>
      </c>
    </row>
    <row r="37" spans="1:20" ht="15.75" thickBot="1" x14ac:dyDescent="0.3">
      <c r="A37" s="1">
        <v>30</v>
      </c>
      <c r="B37" s="1">
        <v>17</v>
      </c>
      <c r="C37" s="1">
        <f>+A37*B37</f>
        <v>510</v>
      </c>
      <c r="P37" s="124" t="s">
        <v>21</v>
      </c>
      <c r="Q37" s="125"/>
      <c r="R37" s="116" t="s">
        <v>247</v>
      </c>
      <c r="S37" s="1">
        <v>9</v>
      </c>
      <c r="T37" s="7">
        <f>+S37*S34</f>
        <v>43497</v>
      </c>
    </row>
    <row r="38" spans="1:20" ht="15.75" thickBot="1" x14ac:dyDescent="0.3">
      <c r="A38" s="1">
        <v>30</v>
      </c>
      <c r="B38" s="1">
        <v>30</v>
      </c>
      <c r="C38" s="1">
        <f>+A38*B38</f>
        <v>900</v>
      </c>
      <c r="E38" s="1"/>
      <c r="P38" s="124" t="s">
        <v>21</v>
      </c>
      <c r="Q38" s="125"/>
      <c r="R38" s="116" t="s">
        <v>248</v>
      </c>
      <c r="S38" s="1">
        <f>+SUM(Q24:Q26)</f>
        <v>17</v>
      </c>
      <c r="T38" s="7"/>
    </row>
    <row r="40" spans="1:20" ht="15.75" thickBot="1" x14ac:dyDescent="0.3"/>
    <row r="41" spans="1:20" ht="15.75" thickBot="1" x14ac:dyDescent="0.3">
      <c r="P41" s="122" t="s">
        <v>24</v>
      </c>
      <c r="Q41" s="122"/>
      <c r="R41" s="10">
        <v>0.02</v>
      </c>
    </row>
    <row r="42" spans="1:20" ht="15.75" thickBot="1" x14ac:dyDescent="0.3"/>
    <row r="43" spans="1:20" ht="15.75" thickBot="1" x14ac:dyDescent="0.3">
      <c r="B43" s="121" t="s">
        <v>60</v>
      </c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</row>
    <row r="44" spans="1:20" ht="15.75" thickBot="1" x14ac:dyDescent="0.3">
      <c r="B44" s="1"/>
      <c r="C44" s="22" t="s">
        <v>30</v>
      </c>
      <c r="D44" s="121" t="s">
        <v>58</v>
      </c>
      <c r="E44" s="121"/>
      <c r="F44" s="121" t="s">
        <v>29</v>
      </c>
      <c r="G44" s="121"/>
      <c r="H44" s="53"/>
      <c r="I44" s="121" t="s">
        <v>59</v>
      </c>
      <c r="J44" s="121"/>
      <c r="K44" s="121" t="s">
        <v>32</v>
      </c>
      <c r="L44" s="121"/>
      <c r="M44" s="121"/>
      <c r="N44" s="2" t="s">
        <v>33</v>
      </c>
    </row>
    <row r="45" spans="1:20" ht="15.75" thickBot="1" x14ac:dyDescent="0.3">
      <c r="B45" s="22" t="s">
        <v>39</v>
      </c>
      <c r="C45" s="7">
        <f>+H29+H20</f>
        <v>26218.5</v>
      </c>
      <c r="D45" s="126">
        <f>+$T$17</f>
        <v>0</v>
      </c>
      <c r="E45" s="125"/>
      <c r="F45" s="128">
        <f>+T36</f>
        <v>33831</v>
      </c>
      <c r="G45" s="129"/>
      <c r="H45" s="9">
        <f>+SUM(C45:G45)</f>
        <v>60049.5</v>
      </c>
      <c r="I45" s="128">
        <f>+H45*R30</f>
        <v>9007.4249999999993</v>
      </c>
      <c r="J45" s="129"/>
      <c r="K45" s="128">
        <f>+H45*Q36</f>
        <v>0</v>
      </c>
      <c r="L45" s="130"/>
      <c r="M45" s="129"/>
      <c r="N45" s="7">
        <f>+SUM(H45:M45)</f>
        <v>69056.925000000003</v>
      </c>
    </row>
    <row r="46" spans="1:20" ht="15.75" thickBot="1" x14ac:dyDescent="0.3">
      <c r="B46" s="22" t="s">
        <v>41</v>
      </c>
      <c r="C46" s="7">
        <f>+K29+K20</f>
        <v>36637</v>
      </c>
      <c r="D46" s="126">
        <f>+$T$17</f>
        <v>0</v>
      </c>
      <c r="E46" s="125"/>
      <c r="F46" s="128">
        <f>+$T$37</f>
        <v>43497</v>
      </c>
      <c r="G46" s="129"/>
      <c r="H46" s="9">
        <f>+SUM(C46:G46)</f>
        <v>80134</v>
      </c>
      <c r="I46" s="128">
        <f>+H46*Q28</f>
        <v>0</v>
      </c>
      <c r="J46" s="129"/>
      <c r="K46" s="128">
        <f>+H46*Q36</f>
        <v>0</v>
      </c>
      <c r="L46" s="130"/>
      <c r="M46" s="129"/>
      <c r="N46" s="7">
        <f>+SUM(H46:M46)</f>
        <v>80134</v>
      </c>
    </row>
    <row r="47" spans="1:20" ht="15.75" thickBot="1" x14ac:dyDescent="0.3">
      <c r="B47" s="22" t="s">
        <v>43</v>
      </c>
      <c r="C47" s="30" t="e">
        <f>+N29+N20</f>
        <v>#REF!</v>
      </c>
      <c r="D47" s="126">
        <f t="shared" ref="D47" si="0">+$T$17</f>
        <v>0</v>
      </c>
      <c r="E47" s="125"/>
      <c r="F47" s="128">
        <f>+T38</f>
        <v>0</v>
      </c>
      <c r="G47" s="129"/>
      <c r="H47" s="9" t="e">
        <f>+SUM(C47:G47)</f>
        <v>#REF!</v>
      </c>
      <c r="I47" s="128" t="e">
        <f>+H47*Q28</f>
        <v>#REF!</v>
      </c>
      <c r="J47" s="129"/>
      <c r="K47" s="128" t="e">
        <f>+H47*Q36</f>
        <v>#REF!</v>
      </c>
      <c r="L47" s="130"/>
      <c r="M47" s="129"/>
      <c r="N47" s="7" t="e">
        <f>+SUM(H47:M47)</f>
        <v>#REF!</v>
      </c>
    </row>
    <row r="52" spans="3:7" x14ac:dyDescent="0.25">
      <c r="C52">
        <f>2500/6000</f>
        <v>0.41666666666666669</v>
      </c>
    </row>
    <row r="53" spans="3:7" x14ac:dyDescent="0.25">
      <c r="F53" t="s">
        <v>249</v>
      </c>
      <c r="G53" s="59">
        <v>10100</v>
      </c>
    </row>
    <row r="54" spans="3:7" x14ac:dyDescent="0.25">
      <c r="F54" t="s">
        <v>37</v>
      </c>
      <c r="G54" s="59">
        <f>3*600</f>
        <v>1800</v>
      </c>
    </row>
    <row r="55" spans="3:7" x14ac:dyDescent="0.25">
      <c r="F55" t="s">
        <v>250</v>
      </c>
      <c r="G55" s="59">
        <v>1600</v>
      </c>
    </row>
    <row r="56" spans="3:7" x14ac:dyDescent="0.25">
      <c r="F56" t="s">
        <v>40</v>
      </c>
      <c r="G56" s="59">
        <f>100*C52</f>
        <v>41.666666666666671</v>
      </c>
    </row>
    <row r="57" spans="3:7" x14ac:dyDescent="0.25">
      <c r="G57" s="59">
        <f>+SUM(G53:G56)</f>
        <v>13541.666666666666</v>
      </c>
    </row>
    <row r="58" spans="3:7" x14ac:dyDescent="0.25">
      <c r="G58" s="59"/>
    </row>
    <row r="59" spans="3:7" x14ac:dyDescent="0.25">
      <c r="G59" s="59"/>
    </row>
  </sheetData>
  <mergeCells count="58">
    <mergeCell ref="D47:E47"/>
    <mergeCell ref="F47:G47"/>
    <mergeCell ref="I47:J47"/>
    <mergeCell ref="K47:M47"/>
    <mergeCell ref="P37:Q37"/>
    <mergeCell ref="P38:Q38"/>
    <mergeCell ref="D45:E45"/>
    <mergeCell ref="F46:G46"/>
    <mergeCell ref="I45:J45"/>
    <mergeCell ref="K45:M45"/>
    <mergeCell ref="D46:E46"/>
    <mergeCell ref="I46:J46"/>
    <mergeCell ref="K46:M46"/>
    <mergeCell ref="F45:G45"/>
    <mergeCell ref="P36:Q36"/>
    <mergeCell ref="P41:Q41"/>
    <mergeCell ref="B43:N43"/>
    <mergeCell ref="D44:E44"/>
    <mergeCell ref="F44:G44"/>
    <mergeCell ref="I44:J44"/>
    <mergeCell ref="K44:M44"/>
    <mergeCell ref="P22:S22"/>
    <mergeCell ref="P23:T23"/>
    <mergeCell ref="P27:S27"/>
    <mergeCell ref="P30:Q30"/>
    <mergeCell ref="P31:Q31"/>
    <mergeCell ref="P34:R34"/>
    <mergeCell ref="P4:R4"/>
    <mergeCell ref="F29:G29"/>
    <mergeCell ref="L30:M30"/>
    <mergeCell ref="A34:C34"/>
    <mergeCell ref="I29:J29"/>
    <mergeCell ref="L29:M29"/>
    <mergeCell ref="P12:T12"/>
    <mergeCell ref="P13:T13"/>
    <mergeCell ref="P17:S17"/>
    <mergeCell ref="P18:T18"/>
    <mergeCell ref="A30:E30"/>
    <mergeCell ref="I25:K25"/>
    <mergeCell ref="L25:N25"/>
    <mergeCell ref="I30:J30"/>
    <mergeCell ref="F30:G30"/>
    <mergeCell ref="A27:B27"/>
    <mergeCell ref="A28:B28"/>
    <mergeCell ref="A29:D29"/>
    <mergeCell ref="F24:H24"/>
    <mergeCell ref="I24:K24"/>
    <mergeCell ref="A24:E24"/>
    <mergeCell ref="F25:H25"/>
    <mergeCell ref="A26:B26"/>
    <mergeCell ref="L24:N24"/>
    <mergeCell ref="A23:N23"/>
    <mergeCell ref="F14:H14"/>
    <mergeCell ref="B12:N12"/>
    <mergeCell ref="B13:E13"/>
    <mergeCell ref="F13:H13"/>
    <mergeCell ref="I13:K13"/>
    <mergeCell ref="L13:N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E763-BFC3-4F24-A33F-1BCB9C4812EF}">
  <dimension ref="A1:M133"/>
  <sheetViews>
    <sheetView tabSelected="1" topLeftCell="A23" zoomScaleNormal="100" workbookViewId="0">
      <selection activeCell="H29" sqref="H29"/>
    </sheetView>
  </sheetViews>
  <sheetFormatPr baseColWidth="10" defaultRowHeight="15" x14ac:dyDescent="0.25"/>
  <cols>
    <col min="1" max="1" width="16.85546875" customWidth="1"/>
    <col min="5" max="5" width="14.140625" customWidth="1"/>
    <col min="6" max="6" width="17.42578125" customWidth="1"/>
    <col min="7" max="7" width="17" customWidth="1"/>
    <col min="8" max="8" width="26.7109375" customWidth="1"/>
    <col min="9" max="9" width="16.42578125" customWidth="1"/>
  </cols>
  <sheetData>
    <row r="1" spans="1:8" ht="15.75" thickBot="1" x14ac:dyDescent="0.3">
      <c r="A1" s="122"/>
      <c r="B1" s="122"/>
      <c r="C1" s="122"/>
      <c r="D1" s="122"/>
      <c r="E1" s="122"/>
    </row>
    <row r="2" spans="1:8" ht="15.75" thickBot="1" x14ac:dyDescent="0.3">
      <c r="A2" s="122"/>
      <c r="B2" s="122"/>
      <c r="C2" s="122"/>
      <c r="D2" s="122"/>
      <c r="E2" s="122"/>
    </row>
    <row r="3" spans="1:8" ht="15.75" thickBot="1" x14ac:dyDescent="0.3">
      <c r="A3" s="122"/>
      <c r="B3" s="122"/>
      <c r="C3" s="122"/>
      <c r="D3" s="122"/>
      <c r="E3" s="122"/>
    </row>
    <row r="4" spans="1:8" ht="15.75" thickBot="1" x14ac:dyDescent="0.3">
      <c r="A4" s="122"/>
      <c r="B4" s="122"/>
      <c r="C4" s="122"/>
      <c r="D4" s="122"/>
      <c r="E4" s="122"/>
    </row>
    <row r="5" spans="1:8" ht="15.75" thickBot="1" x14ac:dyDescent="0.3">
      <c r="A5" s="122"/>
      <c r="B5" s="122"/>
      <c r="C5" s="122"/>
      <c r="D5" s="122"/>
      <c r="E5" s="122"/>
    </row>
    <row r="6" spans="1:8" ht="15.75" thickBot="1" x14ac:dyDescent="0.3">
      <c r="A6" s="122"/>
      <c r="B6" s="122"/>
      <c r="C6" s="122"/>
      <c r="D6" s="122"/>
      <c r="E6" s="122"/>
    </row>
    <row r="7" spans="1:8" ht="15.75" thickBot="1" x14ac:dyDescent="0.3">
      <c r="A7" s="122"/>
      <c r="B7" s="122"/>
      <c r="C7" s="122"/>
      <c r="D7" s="122"/>
      <c r="E7" s="122"/>
    </row>
    <row r="8" spans="1:8" ht="15.75" thickBot="1" x14ac:dyDescent="0.3">
      <c r="A8" s="122"/>
      <c r="B8" s="122"/>
      <c r="C8" s="122"/>
      <c r="D8" s="122"/>
      <c r="E8" s="122"/>
    </row>
    <row r="9" spans="1:8" ht="15.75" thickBot="1" x14ac:dyDescent="0.3">
      <c r="A9" s="122"/>
      <c r="B9" s="122"/>
      <c r="C9" s="122"/>
      <c r="D9" s="122"/>
      <c r="E9" s="122"/>
    </row>
    <row r="10" spans="1:8" ht="15.75" thickBot="1" x14ac:dyDescent="0.3">
      <c r="A10" s="122"/>
      <c r="B10" s="122"/>
      <c r="C10" s="122"/>
      <c r="D10" s="122"/>
      <c r="E10" s="122"/>
    </row>
    <row r="11" spans="1:8" ht="15.75" thickBot="1" x14ac:dyDescent="0.3">
      <c r="A11" s="122"/>
      <c r="B11" s="122"/>
      <c r="C11" s="122"/>
      <c r="D11" s="122"/>
      <c r="E11" s="122"/>
    </row>
    <row r="14" spans="1:8" ht="21.75" thickBot="1" x14ac:dyDescent="0.4">
      <c r="A14" s="161" t="s">
        <v>168</v>
      </c>
      <c r="B14" s="162"/>
      <c r="C14" s="162"/>
      <c r="D14" s="162"/>
      <c r="E14" s="162"/>
      <c r="F14" s="162"/>
      <c r="G14" s="162"/>
      <c r="H14" s="162"/>
    </row>
    <row r="15" spans="1:8" ht="15.75" thickBot="1" x14ac:dyDescent="0.3">
      <c r="A15" s="154" t="s">
        <v>13</v>
      </c>
      <c r="B15" s="154"/>
      <c r="C15" s="154"/>
      <c r="D15" s="154"/>
    </row>
    <row r="16" spans="1:8" ht="15.75" thickBot="1" x14ac:dyDescent="0.3">
      <c r="A16" s="121" t="s">
        <v>172</v>
      </c>
      <c r="B16" s="121"/>
      <c r="C16" s="121"/>
      <c r="D16" s="121"/>
      <c r="E16" s="154"/>
      <c r="F16" s="154"/>
      <c r="G16" s="118"/>
      <c r="H16" s="22" t="s">
        <v>173</v>
      </c>
    </row>
    <row r="17" spans="1:8" ht="15.75" thickBot="1" x14ac:dyDescent="0.3">
      <c r="A17" s="75" t="s">
        <v>0</v>
      </c>
      <c r="B17" s="68">
        <v>125</v>
      </c>
      <c r="C17" s="68" t="s">
        <v>8</v>
      </c>
      <c r="D17" s="76">
        <v>9000</v>
      </c>
      <c r="E17" s="81">
        <f t="shared" ref="E17:E24" si="0">+D17/B17</f>
        <v>72</v>
      </c>
      <c r="F17" s="79">
        <v>14</v>
      </c>
      <c r="G17" s="82" t="s">
        <v>8</v>
      </c>
      <c r="H17" s="28">
        <f>+E17*F17</f>
        <v>1008</v>
      </c>
    </row>
    <row r="18" spans="1:8" ht="15.75" thickBot="1" x14ac:dyDescent="0.3">
      <c r="A18" s="155" t="s">
        <v>1</v>
      </c>
      <c r="B18" s="1">
        <v>300</v>
      </c>
      <c r="C18" s="1" t="s">
        <v>8</v>
      </c>
      <c r="D18" s="77">
        <v>7700</v>
      </c>
      <c r="E18" s="81">
        <f t="shared" si="0"/>
        <v>25.666666666666668</v>
      </c>
      <c r="F18" s="157">
        <v>168</v>
      </c>
      <c r="G18" s="159" t="s">
        <v>8</v>
      </c>
      <c r="H18" s="28">
        <f>+F18*E18</f>
        <v>4312</v>
      </c>
    </row>
    <row r="19" spans="1:8" ht="15.75" thickBot="1" x14ac:dyDescent="0.3">
      <c r="A19" s="156"/>
      <c r="B19" s="1">
        <v>700</v>
      </c>
      <c r="C19" s="1" t="s">
        <v>8</v>
      </c>
      <c r="D19" s="77">
        <v>8900</v>
      </c>
      <c r="E19" s="81">
        <f t="shared" si="0"/>
        <v>12.714285714285714</v>
      </c>
      <c r="F19" s="158"/>
      <c r="G19" s="160"/>
      <c r="H19" s="28"/>
    </row>
    <row r="20" spans="1:8" ht="15.75" thickBot="1" x14ac:dyDescent="0.3">
      <c r="A20" s="1" t="s">
        <v>169</v>
      </c>
      <c r="B20" s="1">
        <v>800</v>
      </c>
      <c r="C20" s="1" t="s">
        <v>8</v>
      </c>
      <c r="D20" s="80">
        <v>13000</v>
      </c>
      <c r="E20" s="81">
        <f t="shared" si="0"/>
        <v>16.25</v>
      </c>
      <c r="F20" s="79">
        <v>186</v>
      </c>
      <c r="G20" s="82" t="s">
        <v>8</v>
      </c>
      <c r="H20" s="28">
        <f>+F20*E20</f>
        <v>3022.5</v>
      </c>
    </row>
    <row r="21" spans="1:8" ht="15.75" thickBot="1" x14ac:dyDescent="0.3">
      <c r="A21" s="1" t="s">
        <v>170</v>
      </c>
      <c r="B21" s="1">
        <v>484</v>
      </c>
      <c r="C21" s="1" t="s">
        <v>8</v>
      </c>
      <c r="D21" s="80">
        <v>9500</v>
      </c>
      <c r="E21" s="81">
        <f t="shared" si="0"/>
        <v>19.628099173553718</v>
      </c>
      <c r="F21" s="79">
        <v>200</v>
      </c>
      <c r="G21" s="82" t="s">
        <v>8</v>
      </c>
      <c r="H21" s="28">
        <f>+F21*E21</f>
        <v>3925.6198347107434</v>
      </c>
    </row>
    <row r="22" spans="1:8" ht="15.75" thickBot="1" x14ac:dyDescent="0.3">
      <c r="A22" s="36" t="s">
        <v>171</v>
      </c>
      <c r="B22" s="36">
        <v>500</v>
      </c>
      <c r="C22" s="36" t="s">
        <v>8</v>
      </c>
      <c r="D22" s="87">
        <v>5900</v>
      </c>
      <c r="E22" s="83">
        <f t="shared" si="0"/>
        <v>11.8</v>
      </c>
      <c r="F22" s="84">
        <v>250</v>
      </c>
      <c r="G22" s="85" t="s">
        <v>8</v>
      </c>
      <c r="H22" s="40">
        <f>+F22*E22</f>
        <v>2950</v>
      </c>
    </row>
    <row r="23" spans="1:8" ht="15.75" thickBot="1" x14ac:dyDescent="0.3">
      <c r="A23" s="1" t="s">
        <v>17</v>
      </c>
      <c r="B23" s="1">
        <v>6000</v>
      </c>
      <c r="C23" s="1" t="s">
        <v>11</v>
      </c>
      <c r="D23" s="88">
        <v>2700</v>
      </c>
      <c r="E23" s="81">
        <f t="shared" si="0"/>
        <v>0.45</v>
      </c>
      <c r="F23" s="1">
        <v>75</v>
      </c>
      <c r="G23" s="1" t="s">
        <v>11</v>
      </c>
      <c r="H23" s="28">
        <f>+F23*E23</f>
        <v>33.75</v>
      </c>
    </row>
    <row r="24" spans="1:8" ht="15.75" thickBot="1" x14ac:dyDescent="0.3">
      <c r="A24" s="1" t="s">
        <v>106</v>
      </c>
      <c r="B24" s="1">
        <v>250</v>
      </c>
      <c r="C24" s="1" t="s">
        <v>8</v>
      </c>
      <c r="D24" s="28">
        <v>14300</v>
      </c>
      <c r="E24" s="92">
        <f t="shared" si="0"/>
        <v>57.2</v>
      </c>
      <c r="F24" s="1">
        <v>30</v>
      </c>
      <c r="G24" s="1" t="s">
        <v>8</v>
      </c>
      <c r="H24" s="1">
        <f>+F24*E24</f>
        <v>1716</v>
      </c>
    </row>
    <row r="25" spans="1:8" ht="15.75" thickBot="1" x14ac:dyDescent="0.3">
      <c r="D25" s="86">
        <f>+SUM(D17+D18+D20+D21+D22+D23)</f>
        <v>47800</v>
      </c>
      <c r="H25" s="69">
        <f>+SUM(H17:H24)</f>
        <v>16967.869834710742</v>
      </c>
    </row>
    <row r="26" spans="1:8" ht="15.75" thickBot="1" x14ac:dyDescent="0.3"/>
    <row r="27" spans="1:8" ht="15.75" thickBot="1" x14ac:dyDescent="0.3">
      <c r="A27" s="124" t="s">
        <v>23</v>
      </c>
      <c r="B27" s="125"/>
      <c r="C27" s="10">
        <v>0.2</v>
      </c>
      <c r="E27" s="123" t="s">
        <v>22</v>
      </c>
      <c r="F27" s="123"/>
      <c r="G27" s="123"/>
      <c r="H27" s="9">
        <v>4833</v>
      </c>
    </row>
    <row r="28" spans="1:8" ht="15.75" thickBot="1" x14ac:dyDescent="0.3"/>
    <row r="29" spans="1:8" ht="15.75" thickBot="1" x14ac:dyDescent="0.3">
      <c r="A29" s="122" t="s">
        <v>21</v>
      </c>
      <c r="B29" s="122"/>
      <c r="C29" s="1">
        <v>1</v>
      </c>
      <c r="E29" s="122" t="s">
        <v>24</v>
      </c>
      <c r="F29" s="122"/>
      <c r="G29" s="122"/>
      <c r="H29" s="10">
        <v>0.02</v>
      </c>
    </row>
    <row r="30" spans="1:8" ht="15.75" thickBot="1" x14ac:dyDescent="0.3"/>
    <row r="31" spans="1:8" ht="15.75" thickBot="1" x14ac:dyDescent="0.3">
      <c r="A31" s="121" t="s">
        <v>58</v>
      </c>
      <c r="B31" s="122"/>
      <c r="C31" s="122"/>
      <c r="D31" s="122"/>
      <c r="E31" s="122"/>
    </row>
    <row r="32" spans="1:8" ht="15.75" thickBot="1" x14ac:dyDescent="0.3">
      <c r="A32" s="1" t="s">
        <v>16</v>
      </c>
      <c r="B32" s="1">
        <v>3</v>
      </c>
      <c r="C32" s="1" t="s">
        <v>20</v>
      </c>
      <c r="D32" s="7">
        <v>3115</v>
      </c>
      <c r="E32" s="7">
        <f>+D32*B32</f>
        <v>9345</v>
      </c>
    </row>
    <row r="33" spans="1:12" ht="15.75" thickBot="1" x14ac:dyDescent="0.3">
      <c r="A33" s="1" t="s">
        <v>17</v>
      </c>
      <c r="B33" s="1">
        <v>3</v>
      </c>
      <c r="C33" s="1" t="s">
        <v>18</v>
      </c>
      <c r="D33" s="7">
        <v>2744</v>
      </c>
      <c r="E33" s="7">
        <f>+D33*B33</f>
        <v>8232</v>
      </c>
    </row>
    <row r="34" spans="1:12" ht="15.75" thickBot="1" x14ac:dyDescent="0.3">
      <c r="A34" s="1" t="s">
        <v>19</v>
      </c>
      <c r="B34" s="1">
        <v>2</v>
      </c>
      <c r="C34" s="1" t="s">
        <v>20</v>
      </c>
      <c r="D34" s="7">
        <v>2744</v>
      </c>
      <c r="E34" s="7">
        <f>+D34*B34</f>
        <v>5488</v>
      </c>
    </row>
    <row r="35" spans="1:12" x14ac:dyDescent="0.25">
      <c r="B35" s="24"/>
    </row>
    <row r="38" spans="1:12" ht="15.75" thickBot="1" x14ac:dyDescent="0.3"/>
    <row r="39" spans="1:12" ht="15.75" thickBot="1" x14ac:dyDescent="0.3">
      <c r="A39" s="66"/>
      <c r="B39" s="1"/>
      <c r="C39" s="1"/>
      <c r="D39" s="22" t="s">
        <v>30</v>
      </c>
      <c r="E39" s="22" t="s">
        <v>58</v>
      </c>
      <c r="F39" s="22" t="s">
        <v>29</v>
      </c>
      <c r="G39" s="22"/>
      <c r="H39" s="2" t="s">
        <v>31</v>
      </c>
      <c r="I39" s="2" t="s">
        <v>32</v>
      </c>
      <c r="J39" s="23" t="s">
        <v>252</v>
      </c>
      <c r="K39" s="74" t="s">
        <v>177</v>
      </c>
    </row>
    <row r="40" spans="1:12" ht="15.75" thickBot="1" x14ac:dyDescent="0.3">
      <c r="A40" s="21" t="s">
        <v>175</v>
      </c>
      <c r="B40" s="1" t="s">
        <v>178</v>
      </c>
      <c r="C40" s="28">
        <f>600*10</f>
        <v>6000</v>
      </c>
      <c r="D40" s="7">
        <f>+C40+H25</f>
        <v>22967.869834710742</v>
      </c>
      <c r="E40" s="7">
        <f>+SUM(E32:E34)</f>
        <v>23065</v>
      </c>
      <c r="F40" s="7">
        <f>+C29*H27</f>
        <v>4833</v>
      </c>
      <c r="G40" s="9">
        <f>+D40+E40+F40</f>
        <v>50865.869834710742</v>
      </c>
      <c r="H40" s="11">
        <f>+G40*C27</f>
        <v>10173.173966942149</v>
      </c>
      <c r="I40" s="11">
        <f>+G40*H29</f>
        <v>1017.3173966942148</v>
      </c>
      <c r="J40" s="90">
        <f>+SUM(G40:I40)</f>
        <v>62056.361198347106</v>
      </c>
      <c r="K40" s="91">
        <f>J40/10</f>
        <v>6205.6361198347104</v>
      </c>
      <c r="L40" s="78">
        <v>8000</v>
      </c>
    </row>
    <row r="41" spans="1:12" ht="15.75" thickBot="1" x14ac:dyDescent="0.3">
      <c r="A41" s="21" t="s">
        <v>176</v>
      </c>
      <c r="B41" s="1"/>
      <c r="C41" s="28">
        <f>300*10</f>
        <v>3000</v>
      </c>
      <c r="D41" s="5">
        <f>+C41+H25</f>
        <v>19967.869834710742</v>
      </c>
      <c r="E41" s="7">
        <f>+SUM(E32:E34)</f>
        <v>23065</v>
      </c>
      <c r="F41" s="7">
        <f>+C29*H27</f>
        <v>4833</v>
      </c>
      <c r="G41" s="9">
        <f>+D41+E41+F41</f>
        <v>47865.869834710742</v>
      </c>
      <c r="H41" s="11">
        <f>+G41*C27</f>
        <v>9573.1739669421495</v>
      </c>
      <c r="I41" s="11">
        <f>+G41*H29</f>
        <v>957.31739669421484</v>
      </c>
      <c r="J41" s="90">
        <f>+SUM(G41:I41)</f>
        <v>58396.361198347106</v>
      </c>
      <c r="K41" s="91">
        <f>J41/10</f>
        <v>5839.6361198347104</v>
      </c>
      <c r="L41" s="78">
        <v>7000</v>
      </c>
    </row>
    <row r="42" spans="1:12" ht="15.75" thickBot="1" x14ac:dyDescent="0.3">
      <c r="A42" s="21" t="s">
        <v>174</v>
      </c>
      <c r="B42" s="1"/>
      <c r="C42" s="28">
        <f>350*10</f>
        <v>3500</v>
      </c>
      <c r="D42" s="7">
        <f>+C42+H25</f>
        <v>20467.869834710742</v>
      </c>
      <c r="E42" s="7">
        <f>+SUM(E32:E34)</f>
        <v>23065</v>
      </c>
      <c r="F42" s="7">
        <f>+C29*H27</f>
        <v>4833</v>
      </c>
      <c r="G42" s="9">
        <f>+D42+E42+F42</f>
        <v>48365.869834710742</v>
      </c>
      <c r="H42" s="11">
        <f>+G42*C27</f>
        <v>9673.1739669421495</v>
      </c>
      <c r="I42" s="11">
        <f>+G42*H29</f>
        <v>967.31739669421484</v>
      </c>
      <c r="J42" s="90">
        <f>ROUND(SUM(G42:I42),3)</f>
        <v>59006.360999999997</v>
      </c>
      <c r="K42" s="91">
        <f>J42/10</f>
        <v>5900.6360999999997</v>
      </c>
      <c r="L42" s="78">
        <v>6000</v>
      </c>
    </row>
    <row r="44" spans="1:12" ht="15.75" thickBot="1" x14ac:dyDescent="0.3"/>
    <row r="45" spans="1:12" ht="21.75" thickBot="1" x14ac:dyDescent="0.4">
      <c r="A45" s="163" t="s">
        <v>179</v>
      </c>
      <c r="B45" s="163"/>
      <c r="C45" s="163"/>
      <c r="D45" s="163"/>
      <c r="E45" s="163"/>
      <c r="F45" s="163"/>
      <c r="G45" s="163"/>
      <c r="H45" s="163"/>
    </row>
    <row r="46" spans="1:12" ht="15.75" thickBot="1" x14ac:dyDescent="0.3">
      <c r="A46" s="164" t="s">
        <v>13</v>
      </c>
      <c r="B46" s="164"/>
      <c r="C46" s="164"/>
      <c r="D46" s="164"/>
    </row>
    <row r="47" spans="1:12" ht="15.75" thickBot="1" x14ac:dyDescent="0.3">
      <c r="A47" s="121" t="s">
        <v>172</v>
      </c>
      <c r="B47" s="121"/>
      <c r="C47" s="121"/>
      <c r="D47" s="121"/>
      <c r="E47" s="154"/>
      <c r="F47" s="154"/>
      <c r="G47" s="118"/>
      <c r="H47" s="22" t="s">
        <v>173</v>
      </c>
    </row>
    <row r="48" spans="1:12" ht="15.75" thickBot="1" x14ac:dyDescent="0.3">
      <c r="A48" s="75" t="s">
        <v>0</v>
      </c>
      <c r="B48" s="68">
        <v>125</v>
      </c>
      <c r="C48" s="68" t="s">
        <v>8</v>
      </c>
      <c r="D48" s="76">
        <v>9000</v>
      </c>
      <c r="E48" s="81">
        <f t="shared" ref="E48:E55" si="1">+D48/B48</f>
        <v>72</v>
      </c>
      <c r="F48" s="79">
        <v>14</v>
      </c>
      <c r="G48" s="82" t="s">
        <v>8</v>
      </c>
      <c r="H48" s="28">
        <f>+E48*F48</f>
        <v>1008</v>
      </c>
    </row>
    <row r="49" spans="1:8" ht="15.75" thickBot="1" x14ac:dyDescent="0.3">
      <c r="A49" s="155" t="s">
        <v>1</v>
      </c>
      <c r="B49" s="1">
        <v>300</v>
      </c>
      <c r="C49" s="1" t="s">
        <v>8</v>
      </c>
      <c r="D49" s="77">
        <v>7700</v>
      </c>
      <c r="E49" s="81">
        <f t="shared" si="1"/>
        <v>25.666666666666668</v>
      </c>
      <c r="F49" s="157">
        <v>168</v>
      </c>
      <c r="G49" s="159" t="s">
        <v>8</v>
      </c>
      <c r="H49" s="28">
        <f>+F49*E49</f>
        <v>4312</v>
      </c>
    </row>
    <row r="50" spans="1:8" ht="15.75" thickBot="1" x14ac:dyDescent="0.3">
      <c r="A50" s="156"/>
      <c r="B50" s="1">
        <v>700</v>
      </c>
      <c r="C50" s="1" t="s">
        <v>8</v>
      </c>
      <c r="D50" s="77">
        <v>8900</v>
      </c>
      <c r="E50" s="81">
        <f t="shared" si="1"/>
        <v>12.714285714285714</v>
      </c>
      <c r="F50" s="158"/>
      <c r="G50" s="160"/>
      <c r="H50" s="28"/>
    </row>
    <row r="51" spans="1:8" ht="15.75" thickBot="1" x14ac:dyDescent="0.3">
      <c r="A51" s="1" t="s">
        <v>169</v>
      </c>
      <c r="B51" s="1">
        <v>800</v>
      </c>
      <c r="C51" s="1" t="s">
        <v>8</v>
      </c>
      <c r="D51" s="80">
        <v>13000</v>
      </c>
      <c r="E51" s="81">
        <f t="shared" si="1"/>
        <v>16.25</v>
      </c>
      <c r="F51" s="79">
        <v>186</v>
      </c>
      <c r="G51" s="82" t="s">
        <v>8</v>
      </c>
      <c r="H51" s="28">
        <f>+F51*E51</f>
        <v>3022.5</v>
      </c>
    </row>
    <row r="52" spans="1:8" ht="15.75" thickBot="1" x14ac:dyDescent="0.3">
      <c r="A52" s="1" t="s">
        <v>170</v>
      </c>
      <c r="B52" s="1">
        <v>484</v>
      </c>
      <c r="C52" s="1" t="s">
        <v>8</v>
      </c>
      <c r="D52" s="80">
        <v>9500</v>
      </c>
      <c r="E52" s="81">
        <f t="shared" si="1"/>
        <v>19.628099173553718</v>
      </c>
      <c r="F52" s="79">
        <v>200</v>
      </c>
      <c r="G52" s="82" t="s">
        <v>8</v>
      </c>
      <c r="H52" s="28">
        <f>+F52*E52</f>
        <v>3925.6198347107434</v>
      </c>
    </row>
    <row r="53" spans="1:8" ht="15.75" thickBot="1" x14ac:dyDescent="0.3">
      <c r="A53" s="36" t="s">
        <v>180</v>
      </c>
      <c r="B53" s="36">
        <v>1000</v>
      </c>
      <c r="C53" s="36" t="s">
        <v>8</v>
      </c>
      <c r="D53" s="87">
        <v>4800</v>
      </c>
      <c r="E53" s="83">
        <f t="shared" si="1"/>
        <v>4.8</v>
      </c>
      <c r="F53" s="84">
        <v>250</v>
      </c>
      <c r="G53" s="85" t="s">
        <v>8</v>
      </c>
      <c r="H53" s="40">
        <f>+F53*E53</f>
        <v>1200</v>
      </c>
    </row>
    <row r="54" spans="1:8" ht="15.75" thickBot="1" x14ac:dyDescent="0.3">
      <c r="A54" s="1" t="s">
        <v>17</v>
      </c>
      <c r="B54" s="1">
        <v>6000</v>
      </c>
      <c r="C54" s="1" t="s">
        <v>11</v>
      </c>
      <c r="D54" s="88">
        <v>2700</v>
      </c>
      <c r="E54" s="81">
        <f t="shared" si="1"/>
        <v>0.45</v>
      </c>
      <c r="F54" s="1">
        <v>75</v>
      </c>
      <c r="G54" s="1" t="s">
        <v>11</v>
      </c>
      <c r="H54" s="28">
        <f>+F54*E54</f>
        <v>33.75</v>
      </c>
    </row>
    <row r="55" spans="1:8" ht="15.75" thickBot="1" x14ac:dyDescent="0.3">
      <c r="A55" s="1" t="s">
        <v>106</v>
      </c>
      <c r="B55" s="1">
        <v>250</v>
      </c>
      <c r="C55" s="1" t="s">
        <v>8</v>
      </c>
      <c r="D55" s="28">
        <v>14300</v>
      </c>
      <c r="E55" s="92">
        <f t="shared" si="1"/>
        <v>57.2</v>
      </c>
      <c r="F55" s="1">
        <v>30</v>
      </c>
      <c r="G55" s="1" t="s">
        <v>8</v>
      </c>
      <c r="H55" s="1">
        <f>+F55*E55</f>
        <v>1716</v>
      </c>
    </row>
    <row r="56" spans="1:8" ht="15.75" thickBot="1" x14ac:dyDescent="0.3">
      <c r="D56" s="86">
        <f>+SUM(D48+D49+D51+D52+D53+D54)</f>
        <v>46700</v>
      </c>
      <c r="H56" s="69">
        <f>+SUM(H48:H55)</f>
        <v>15217.869834710744</v>
      </c>
    </row>
    <row r="57" spans="1:8" ht="15.75" thickBot="1" x14ac:dyDescent="0.3"/>
    <row r="58" spans="1:8" ht="15.75" thickBot="1" x14ac:dyDescent="0.3">
      <c r="A58" s="124" t="s">
        <v>23</v>
      </c>
      <c r="B58" s="125"/>
      <c r="C58" s="10">
        <v>0.2</v>
      </c>
      <c r="E58" s="123" t="s">
        <v>22</v>
      </c>
      <c r="F58" s="123"/>
      <c r="G58" s="123"/>
      <c r="H58" s="9">
        <v>4833</v>
      </c>
    </row>
    <row r="59" spans="1:8" ht="15.75" thickBot="1" x14ac:dyDescent="0.3"/>
    <row r="60" spans="1:8" ht="15.75" thickBot="1" x14ac:dyDescent="0.3">
      <c r="A60" s="122" t="s">
        <v>21</v>
      </c>
      <c r="B60" s="122"/>
      <c r="C60" s="1">
        <v>1</v>
      </c>
      <c r="E60" s="122" t="s">
        <v>24</v>
      </c>
      <c r="F60" s="122"/>
      <c r="G60" s="122"/>
      <c r="H60" s="10">
        <v>0.02</v>
      </c>
    </row>
    <row r="61" spans="1:8" ht="15.75" thickBot="1" x14ac:dyDescent="0.3"/>
    <row r="62" spans="1:8" ht="15.75" thickBot="1" x14ac:dyDescent="0.3">
      <c r="A62" s="121" t="s">
        <v>58</v>
      </c>
      <c r="B62" s="122"/>
      <c r="C62" s="122"/>
      <c r="D62" s="122"/>
      <c r="E62" s="122"/>
    </row>
    <row r="63" spans="1:8" ht="15.75" thickBot="1" x14ac:dyDescent="0.3">
      <c r="A63" s="1" t="s">
        <v>16</v>
      </c>
      <c r="B63" s="1">
        <v>3</v>
      </c>
      <c r="C63" s="1" t="s">
        <v>20</v>
      </c>
      <c r="D63" s="7">
        <v>3115</v>
      </c>
      <c r="E63" s="7">
        <f>+D63*B63</f>
        <v>9345</v>
      </c>
    </row>
    <row r="64" spans="1:8" ht="15.75" thickBot="1" x14ac:dyDescent="0.3">
      <c r="A64" s="1" t="s">
        <v>17</v>
      </c>
      <c r="B64" s="1">
        <v>3</v>
      </c>
      <c r="C64" s="1" t="s">
        <v>18</v>
      </c>
      <c r="D64" s="7">
        <v>2744</v>
      </c>
      <c r="E64" s="7">
        <f>+D64*B64</f>
        <v>8232</v>
      </c>
    </row>
    <row r="65" spans="1:12" ht="15.75" thickBot="1" x14ac:dyDescent="0.3">
      <c r="A65" s="1" t="s">
        <v>19</v>
      </c>
      <c r="B65" s="1">
        <v>2</v>
      </c>
      <c r="C65" s="1" t="s">
        <v>20</v>
      </c>
      <c r="D65" s="7">
        <v>2744</v>
      </c>
      <c r="E65" s="7">
        <f>+D65*B65</f>
        <v>5488</v>
      </c>
    </row>
    <row r="66" spans="1:12" x14ac:dyDescent="0.25">
      <c r="B66" s="24"/>
    </row>
    <row r="67" spans="1:12" ht="15.75" thickBot="1" x14ac:dyDescent="0.3"/>
    <row r="68" spans="1:12" ht="15.75" thickBot="1" x14ac:dyDescent="0.3">
      <c r="A68" s="66"/>
      <c r="B68" s="1"/>
      <c r="C68" s="1"/>
      <c r="D68" s="22" t="s">
        <v>30</v>
      </c>
      <c r="E68" s="22" t="s">
        <v>58</v>
      </c>
      <c r="F68" s="22" t="s">
        <v>29</v>
      </c>
      <c r="G68" s="22"/>
      <c r="H68" s="2" t="s">
        <v>31</v>
      </c>
      <c r="I68" s="2" t="s">
        <v>32</v>
      </c>
      <c r="J68" s="23" t="s">
        <v>33</v>
      </c>
      <c r="K68" s="74" t="s">
        <v>177</v>
      </c>
    </row>
    <row r="69" spans="1:12" ht="15.75" thickBot="1" x14ac:dyDescent="0.3">
      <c r="A69" s="21" t="s">
        <v>175</v>
      </c>
      <c r="B69" s="1" t="s">
        <v>178</v>
      </c>
      <c r="C69" s="28">
        <f>600*10</f>
        <v>6000</v>
      </c>
      <c r="D69" s="7">
        <f>+C69+H56</f>
        <v>21217.869834710742</v>
      </c>
      <c r="E69" s="7">
        <f>+SUM(E63:E65)</f>
        <v>23065</v>
      </c>
      <c r="F69" s="7">
        <f>+C60*H58</f>
        <v>4833</v>
      </c>
      <c r="G69" s="9">
        <f>+D69+E69+F69</f>
        <v>49115.869834710742</v>
      </c>
      <c r="H69" s="11">
        <f>+G69*C58</f>
        <v>9823.1739669421495</v>
      </c>
      <c r="I69" s="11">
        <f>+G69*H60</f>
        <v>982.31739669421484</v>
      </c>
      <c r="J69" s="90">
        <f>+SUM(G69:I69)</f>
        <v>59921.361198347106</v>
      </c>
      <c r="K69" s="91">
        <f>J69/10</f>
        <v>5992.1361198347104</v>
      </c>
      <c r="L69" s="78">
        <v>8000</v>
      </c>
    </row>
    <row r="70" spans="1:12" ht="15.75" thickBot="1" x14ac:dyDescent="0.3">
      <c r="A70" s="21" t="s">
        <v>176</v>
      </c>
      <c r="B70" s="1"/>
      <c r="C70" s="28">
        <f>300*10</f>
        <v>3000</v>
      </c>
      <c r="D70" s="5">
        <f>+C70+H56</f>
        <v>18217.869834710742</v>
      </c>
      <c r="E70" s="7">
        <f>+SUM(E63:E65)</f>
        <v>23065</v>
      </c>
      <c r="F70" s="7">
        <f>+C60*H58</f>
        <v>4833</v>
      </c>
      <c r="G70" s="9">
        <f>+D70+E70+F70</f>
        <v>46115.869834710742</v>
      </c>
      <c r="H70" s="11">
        <f>+G70*C58</f>
        <v>9223.1739669421495</v>
      </c>
      <c r="I70" s="11">
        <f>+G70*H60</f>
        <v>922.31739669421484</v>
      </c>
      <c r="J70" s="90">
        <f>+SUM(G70:I70)</f>
        <v>56261.361198347106</v>
      </c>
      <c r="K70" s="91">
        <f>J70/10</f>
        <v>5626.1361198347104</v>
      </c>
      <c r="L70" s="78">
        <v>7000</v>
      </c>
    </row>
    <row r="71" spans="1:12" ht="15.75" thickBot="1" x14ac:dyDescent="0.3">
      <c r="A71" s="21" t="s">
        <v>174</v>
      </c>
      <c r="B71" s="1"/>
      <c r="C71" s="28">
        <f>350*10</f>
        <v>3500</v>
      </c>
      <c r="D71" s="7">
        <f>+C71+H56</f>
        <v>18717.869834710742</v>
      </c>
      <c r="E71" s="7">
        <f>+SUM(E63:E65)</f>
        <v>23065</v>
      </c>
      <c r="F71" s="7">
        <f>+C60*H58</f>
        <v>4833</v>
      </c>
      <c r="G71" s="9">
        <f>+D71+E71+F71</f>
        <v>46615.869834710742</v>
      </c>
      <c r="H71" s="11">
        <f>+G71*C58</f>
        <v>9323.1739669421495</v>
      </c>
      <c r="I71" s="11">
        <f>+G71*H60</f>
        <v>932.31739669421484</v>
      </c>
      <c r="J71" s="90">
        <f>ROUND(SUM(G71:I71),3)</f>
        <v>56871.360999999997</v>
      </c>
      <c r="K71" s="91">
        <f>J71/10</f>
        <v>5687.1360999999997</v>
      </c>
      <c r="L71" s="78">
        <v>6000</v>
      </c>
    </row>
    <row r="74" spans="1:12" ht="15.75" thickBot="1" x14ac:dyDescent="0.3"/>
    <row r="75" spans="1:12" ht="21.75" thickBot="1" x14ac:dyDescent="0.4">
      <c r="A75" s="163" t="s">
        <v>181</v>
      </c>
      <c r="B75" s="163"/>
      <c r="C75" s="163"/>
      <c r="D75" s="163"/>
      <c r="E75" s="163"/>
      <c r="F75" s="163"/>
      <c r="G75" s="163"/>
      <c r="H75" s="163"/>
    </row>
    <row r="76" spans="1:12" ht="15.75" thickBot="1" x14ac:dyDescent="0.3">
      <c r="A76" s="164" t="s">
        <v>13</v>
      </c>
      <c r="B76" s="164"/>
      <c r="C76" s="164"/>
      <c r="D76" s="164"/>
    </row>
    <row r="77" spans="1:12" ht="15.75" thickBot="1" x14ac:dyDescent="0.3">
      <c r="A77" s="121" t="s">
        <v>172</v>
      </c>
      <c r="B77" s="121"/>
      <c r="C77" s="121"/>
      <c r="D77" s="121"/>
      <c r="E77" s="154"/>
      <c r="F77" s="154"/>
      <c r="G77" s="118"/>
      <c r="H77" s="22" t="s">
        <v>173</v>
      </c>
    </row>
    <row r="78" spans="1:12" ht="15.75" thickBot="1" x14ac:dyDescent="0.3">
      <c r="A78" s="75" t="s">
        <v>0</v>
      </c>
      <c r="B78" s="68">
        <v>125</v>
      </c>
      <c r="C78" s="68" t="s">
        <v>8</v>
      </c>
      <c r="D78" s="76">
        <v>9000</v>
      </c>
      <c r="E78" s="81">
        <f t="shared" ref="E78:E85" si="2">+D78/B78</f>
        <v>72</v>
      </c>
      <c r="F78" s="79">
        <v>14</v>
      </c>
      <c r="G78" s="82" t="s">
        <v>8</v>
      </c>
      <c r="H78" s="28">
        <f>+E78*F78</f>
        <v>1008</v>
      </c>
    </row>
    <row r="79" spans="1:12" ht="15.75" thickBot="1" x14ac:dyDescent="0.3">
      <c r="A79" s="155" t="s">
        <v>1</v>
      </c>
      <c r="B79" s="1">
        <v>300</v>
      </c>
      <c r="C79" s="1" t="s">
        <v>8</v>
      </c>
      <c r="D79" s="77">
        <v>7700</v>
      </c>
      <c r="E79" s="81">
        <f t="shared" si="2"/>
        <v>25.666666666666668</v>
      </c>
      <c r="F79" s="157">
        <v>168</v>
      </c>
      <c r="G79" s="159" t="s">
        <v>8</v>
      </c>
      <c r="H79" s="28">
        <f>+F79*E79</f>
        <v>4312</v>
      </c>
    </row>
    <row r="80" spans="1:12" ht="15.75" thickBot="1" x14ac:dyDescent="0.3">
      <c r="A80" s="156"/>
      <c r="B80" s="1">
        <v>700</v>
      </c>
      <c r="C80" s="1" t="s">
        <v>8</v>
      </c>
      <c r="D80" s="77">
        <v>8900</v>
      </c>
      <c r="E80" s="81">
        <f t="shared" si="2"/>
        <v>12.714285714285714</v>
      </c>
      <c r="F80" s="158"/>
      <c r="G80" s="160"/>
      <c r="H80" s="28"/>
    </row>
    <row r="81" spans="1:8" ht="15.75" thickBot="1" x14ac:dyDescent="0.3">
      <c r="A81" s="1" t="s">
        <v>169</v>
      </c>
      <c r="B81" s="1">
        <v>800</v>
      </c>
      <c r="C81" s="1" t="s">
        <v>8</v>
      </c>
      <c r="D81" s="80">
        <v>13000</v>
      </c>
      <c r="E81" s="81">
        <f t="shared" si="2"/>
        <v>16.25</v>
      </c>
      <c r="F81" s="79">
        <v>186</v>
      </c>
      <c r="G81" s="82" t="s">
        <v>8</v>
      </c>
      <c r="H81" s="28">
        <f>+F81*E81</f>
        <v>3022.5</v>
      </c>
    </row>
    <row r="82" spans="1:8" ht="15.75" thickBot="1" x14ac:dyDescent="0.3">
      <c r="A82" s="1" t="s">
        <v>170</v>
      </c>
      <c r="B82" s="1">
        <v>484</v>
      </c>
      <c r="C82" s="1" t="s">
        <v>8</v>
      </c>
      <c r="D82" s="80">
        <v>9500</v>
      </c>
      <c r="E82" s="81">
        <f t="shared" si="2"/>
        <v>19.628099173553718</v>
      </c>
      <c r="F82" s="79">
        <v>200</v>
      </c>
      <c r="G82" s="82" t="s">
        <v>8</v>
      </c>
      <c r="H82" s="28">
        <f>+F82*E82</f>
        <v>3925.6198347107434</v>
      </c>
    </row>
    <row r="83" spans="1:8" ht="15.75" thickBot="1" x14ac:dyDescent="0.3">
      <c r="A83" s="36" t="s">
        <v>182</v>
      </c>
      <c r="B83" s="36">
        <v>1000</v>
      </c>
      <c r="C83" s="36" t="s">
        <v>8</v>
      </c>
      <c r="D83" s="87">
        <v>2900</v>
      </c>
      <c r="E83" s="83">
        <f t="shared" si="2"/>
        <v>2.9</v>
      </c>
      <c r="F83" s="84">
        <v>250</v>
      </c>
      <c r="G83" s="85" t="s">
        <v>8</v>
      </c>
      <c r="H83" s="40">
        <f>+F83*E83</f>
        <v>725</v>
      </c>
    </row>
    <row r="84" spans="1:8" ht="15.75" thickBot="1" x14ac:dyDescent="0.3">
      <c r="A84" s="1" t="s">
        <v>17</v>
      </c>
      <c r="B84" s="1">
        <v>6000</v>
      </c>
      <c r="C84" s="1" t="s">
        <v>11</v>
      </c>
      <c r="D84" s="88">
        <v>2700</v>
      </c>
      <c r="E84" s="81">
        <f t="shared" si="2"/>
        <v>0.45</v>
      </c>
      <c r="F84" s="1">
        <v>75</v>
      </c>
      <c r="G84" s="1" t="s">
        <v>11</v>
      </c>
      <c r="H84" s="28">
        <f>+F84*E84</f>
        <v>33.75</v>
      </c>
    </row>
    <row r="85" spans="1:8" ht="15.75" thickBot="1" x14ac:dyDescent="0.3">
      <c r="A85" s="1" t="s">
        <v>106</v>
      </c>
      <c r="B85" s="1">
        <v>250</v>
      </c>
      <c r="C85" s="1" t="s">
        <v>8</v>
      </c>
      <c r="D85" s="28">
        <v>14300</v>
      </c>
      <c r="E85" s="92">
        <f t="shared" si="2"/>
        <v>57.2</v>
      </c>
      <c r="F85" s="1">
        <v>30</v>
      </c>
      <c r="G85" s="1" t="s">
        <v>8</v>
      </c>
      <c r="H85" s="28">
        <f>+F85*E85</f>
        <v>1716</v>
      </c>
    </row>
    <row r="86" spans="1:8" ht="15.75" thickBot="1" x14ac:dyDescent="0.3">
      <c r="D86" s="86">
        <f>+SUM(D78+D79+D81+D82+D83+D84)</f>
        <v>44800</v>
      </c>
      <c r="H86" s="69">
        <f>+SUM(H78:H85)</f>
        <v>14742.869834710744</v>
      </c>
    </row>
    <row r="87" spans="1:8" ht="15.75" thickBot="1" x14ac:dyDescent="0.3"/>
    <row r="88" spans="1:8" ht="15.75" thickBot="1" x14ac:dyDescent="0.3">
      <c r="A88" s="124" t="s">
        <v>23</v>
      </c>
      <c r="B88" s="125"/>
      <c r="C88" s="10">
        <v>0.2</v>
      </c>
      <c r="E88" s="123" t="s">
        <v>22</v>
      </c>
      <c r="F88" s="123"/>
      <c r="G88" s="123"/>
      <c r="H88" s="9">
        <v>4833</v>
      </c>
    </row>
    <row r="89" spans="1:8" ht="15.75" thickBot="1" x14ac:dyDescent="0.3"/>
    <row r="90" spans="1:8" ht="15.75" thickBot="1" x14ac:dyDescent="0.3">
      <c r="A90" s="122" t="s">
        <v>21</v>
      </c>
      <c r="B90" s="122"/>
      <c r="C90" s="1">
        <v>1</v>
      </c>
      <c r="E90" s="122" t="s">
        <v>24</v>
      </c>
      <c r="F90" s="122"/>
      <c r="G90" s="122"/>
      <c r="H90" s="10">
        <v>0.02</v>
      </c>
    </row>
    <row r="91" spans="1:8" ht="15.75" thickBot="1" x14ac:dyDescent="0.3"/>
    <row r="92" spans="1:8" ht="15.75" thickBot="1" x14ac:dyDescent="0.3">
      <c r="A92" s="121" t="s">
        <v>58</v>
      </c>
      <c r="B92" s="122"/>
      <c r="C92" s="122"/>
      <c r="D92" s="122"/>
      <c r="E92" s="122"/>
    </row>
    <row r="93" spans="1:8" ht="15.75" thickBot="1" x14ac:dyDescent="0.3">
      <c r="A93" s="1" t="s">
        <v>16</v>
      </c>
      <c r="B93" s="1">
        <v>3</v>
      </c>
      <c r="C93" s="1" t="s">
        <v>20</v>
      </c>
      <c r="D93" s="7">
        <v>3115</v>
      </c>
      <c r="E93" s="7">
        <f>+D93*B93</f>
        <v>9345</v>
      </c>
    </row>
    <row r="94" spans="1:8" ht="15.75" thickBot="1" x14ac:dyDescent="0.3">
      <c r="A94" s="1" t="s">
        <v>17</v>
      </c>
      <c r="B94" s="1">
        <v>3</v>
      </c>
      <c r="C94" s="1" t="s">
        <v>18</v>
      </c>
      <c r="D94" s="7">
        <v>2744</v>
      </c>
      <c r="E94" s="7">
        <f>+D94*B94</f>
        <v>8232</v>
      </c>
    </row>
    <row r="95" spans="1:8" ht="15.75" thickBot="1" x14ac:dyDescent="0.3">
      <c r="A95" s="1" t="s">
        <v>19</v>
      </c>
      <c r="B95" s="1">
        <v>2</v>
      </c>
      <c r="C95" s="1" t="s">
        <v>20</v>
      </c>
      <c r="D95" s="7">
        <v>2744</v>
      </c>
      <c r="E95" s="7">
        <f>+D95*B95</f>
        <v>5488</v>
      </c>
    </row>
    <row r="96" spans="1:8" x14ac:dyDescent="0.25">
      <c r="B96" s="24"/>
    </row>
    <row r="97" spans="1:12" ht="15.75" thickBot="1" x14ac:dyDescent="0.3"/>
    <row r="98" spans="1:12" ht="15.75" thickBot="1" x14ac:dyDescent="0.3">
      <c r="A98" s="66"/>
      <c r="B98" s="1"/>
      <c r="C98" s="1"/>
      <c r="D98" s="22" t="s">
        <v>30</v>
      </c>
      <c r="E98" s="22" t="s">
        <v>58</v>
      </c>
      <c r="F98" s="22" t="s">
        <v>29</v>
      </c>
      <c r="G98" s="22"/>
      <c r="H98" s="2" t="s">
        <v>31</v>
      </c>
      <c r="I98" s="2" t="s">
        <v>32</v>
      </c>
      <c r="J98" s="23" t="s">
        <v>33</v>
      </c>
      <c r="K98" s="74" t="s">
        <v>177</v>
      </c>
    </row>
    <row r="99" spans="1:12" ht="15.75" thickBot="1" x14ac:dyDescent="0.3">
      <c r="A99" s="21" t="s">
        <v>175</v>
      </c>
      <c r="B99" s="1" t="s">
        <v>178</v>
      </c>
      <c r="C99" s="28">
        <f>600*10</f>
        <v>6000</v>
      </c>
      <c r="D99" s="7">
        <f>+C99+H86</f>
        <v>20742.869834710742</v>
      </c>
      <c r="E99" s="7">
        <f>+SUM(E93:E95)</f>
        <v>23065</v>
      </c>
      <c r="F99" s="7">
        <f>+C90*H88</f>
        <v>4833</v>
      </c>
      <c r="G99" s="9">
        <f>+D99+E99+F99</f>
        <v>48640.869834710742</v>
      </c>
      <c r="H99" s="11">
        <f>+G99*C88</f>
        <v>9728.1739669421495</v>
      </c>
      <c r="I99" s="11">
        <f>+G99*H90</f>
        <v>972.81739669421484</v>
      </c>
      <c r="J99" s="90">
        <f>+SUM(G99:I99)</f>
        <v>59341.861198347106</v>
      </c>
      <c r="K99" s="91">
        <f>J99/10</f>
        <v>5934.1861198347106</v>
      </c>
      <c r="L99" s="78">
        <v>8000</v>
      </c>
    </row>
    <row r="100" spans="1:12" ht="15.75" thickBot="1" x14ac:dyDescent="0.3">
      <c r="A100" s="21" t="s">
        <v>176</v>
      </c>
      <c r="B100" s="1"/>
      <c r="C100" s="28">
        <f>300*10</f>
        <v>3000</v>
      </c>
      <c r="D100" s="5">
        <f>+C100+H86</f>
        <v>17742.869834710742</v>
      </c>
      <c r="E100" s="7">
        <f>+SUM(E93:E95)</f>
        <v>23065</v>
      </c>
      <c r="F100" s="7">
        <f>+C90*H88</f>
        <v>4833</v>
      </c>
      <c r="G100" s="9">
        <f>+D100+E100+F100</f>
        <v>45640.869834710742</v>
      </c>
      <c r="H100" s="11">
        <f>+G100*C88</f>
        <v>9128.1739669421495</v>
      </c>
      <c r="I100" s="11">
        <f>+G100*H90</f>
        <v>912.81739669421484</v>
      </c>
      <c r="J100" s="90">
        <f>+SUM(G100:I100)</f>
        <v>55681.861198347106</v>
      </c>
      <c r="K100" s="91">
        <f>J100/10</f>
        <v>5568.1861198347106</v>
      </c>
      <c r="L100" s="78">
        <v>7000</v>
      </c>
    </row>
    <row r="101" spans="1:12" ht="15.75" thickBot="1" x14ac:dyDescent="0.3">
      <c r="A101" s="21" t="s">
        <v>174</v>
      </c>
      <c r="B101" s="1"/>
      <c r="C101" s="28">
        <f>350*10</f>
        <v>3500</v>
      </c>
      <c r="D101" s="7">
        <f>+C101+H86</f>
        <v>18242.869834710742</v>
      </c>
      <c r="E101" s="7">
        <f>+SUM(E93:E95)</f>
        <v>23065</v>
      </c>
      <c r="F101" s="7">
        <f>+C90*H88</f>
        <v>4833</v>
      </c>
      <c r="G101" s="9">
        <f>+D101+E101+F101</f>
        <v>46140.869834710742</v>
      </c>
      <c r="H101" s="11">
        <f>+G101*C88</f>
        <v>9228.1739669421495</v>
      </c>
      <c r="I101" s="11">
        <f>+G101*H90</f>
        <v>922.81739669421484</v>
      </c>
      <c r="J101" s="90">
        <f>ROUND(SUM(G101:I101),3)</f>
        <v>56291.860999999997</v>
      </c>
      <c r="K101" s="91">
        <f>J101/10</f>
        <v>5629.1860999999999</v>
      </c>
      <c r="L101" s="78">
        <v>6000</v>
      </c>
    </row>
    <row r="103" spans="1:12" ht="15.75" thickBot="1" x14ac:dyDescent="0.3"/>
    <row r="104" spans="1:12" ht="21.75" thickBot="1" x14ac:dyDescent="0.4">
      <c r="A104" s="163" t="s">
        <v>183</v>
      </c>
      <c r="B104" s="163"/>
      <c r="C104" s="163"/>
      <c r="D104" s="163"/>
      <c r="E104" s="163"/>
      <c r="F104" s="163"/>
      <c r="G104" s="163"/>
      <c r="H104" s="163"/>
    </row>
    <row r="105" spans="1:12" ht="15.75" thickBot="1" x14ac:dyDescent="0.3">
      <c r="A105" s="164" t="s">
        <v>13</v>
      </c>
      <c r="B105" s="164"/>
      <c r="C105" s="164"/>
      <c r="D105" s="164"/>
    </row>
    <row r="106" spans="1:12" ht="15.75" thickBot="1" x14ac:dyDescent="0.3">
      <c r="A106" s="121" t="s">
        <v>172</v>
      </c>
      <c r="B106" s="121"/>
      <c r="C106" s="121"/>
      <c r="D106" s="121"/>
      <c r="E106" s="154"/>
      <c r="F106" s="154"/>
      <c r="G106" s="118"/>
      <c r="H106" s="22" t="s">
        <v>173</v>
      </c>
    </row>
    <row r="107" spans="1:12" ht="15.75" thickBot="1" x14ac:dyDescent="0.3">
      <c r="A107" s="75" t="s">
        <v>0</v>
      </c>
      <c r="B107" s="68">
        <v>125</v>
      </c>
      <c r="C107" s="68" t="s">
        <v>8</v>
      </c>
      <c r="D107" s="76">
        <v>9000</v>
      </c>
      <c r="E107" s="81">
        <f t="shared" ref="E107:E117" si="3">+D107/B107</f>
        <v>72</v>
      </c>
      <c r="F107" s="79">
        <v>14</v>
      </c>
      <c r="G107" s="82" t="s">
        <v>8</v>
      </c>
      <c r="H107" s="28">
        <f>+E107*F107</f>
        <v>1008</v>
      </c>
    </row>
    <row r="108" spans="1:12" ht="15.75" thickBot="1" x14ac:dyDescent="0.3">
      <c r="A108" s="155" t="s">
        <v>1</v>
      </c>
      <c r="B108" s="1">
        <v>300</v>
      </c>
      <c r="C108" s="1" t="s">
        <v>8</v>
      </c>
      <c r="D108" s="77">
        <v>7700</v>
      </c>
      <c r="E108" s="81">
        <f t="shared" si="3"/>
        <v>25.666666666666668</v>
      </c>
      <c r="F108" s="157">
        <v>168</v>
      </c>
      <c r="G108" s="159" t="s">
        <v>8</v>
      </c>
      <c r="H108" s="28">
        <f>+F108*E108</f>
        <v>4312</v>
      </c>
    </row>
    <row r="109" spans="1:12" ht="15.75" thickBot="1" x14ac:dyDescent="0.3">
      <c r="A109" s="156"/>
      <c r="B109" s="1">
        <v>700</v>
      </c>
      <c r="C109" s="1" t="s">
        <v>8</v>
      </c>
      <c r="D109" s="77">
        <v>8900</v>
      </c>
      <c r="E109" s="81">
        <f t="shared" si="3"/>
        <v>12.714285714285714</v>
      </c>
      <c r="F109" s="158"/>
      <c r="G109" s="160"/>
      <c r="H109" s="28"/>
    </row>
    <row r="110" spans="1:12" ht="15.75" thickBot="1" x14ac:dyDescent="0.3">
      <c r="A110" s="1" t="s">
        <v>169</v>
      </c>
      <c r="B110" s="1">
        <v>800</v>
      </c>
      <c r="C110" s="1" t="s">
        <v>8</v>
      </c>
      <c r="D110" s="80">
        <v>13000</v>
      </c>
      <c r="E110" s="81">
        <f t="shared" si="3"/>
        <v>16.25</v>
      </c>
      <c r="F110" s="79">
        <v>186</v>
      </c>
      <c r="G110" s="82" t="s">
        <v>8</v>
      </c>
      <c r="H110" s="28">
        <f>+F110*E110</f>
        <v>3022.5</v>
      </c>
    </row>
    <row r="111" spans="1:12" ht="15.75" thickBot="1" x14ac:dyDescent="0.3">
      <c r="A111" s="1" t="s">
        <v>170</v>
      </c>
      <c r="B111" s="1">
        <v>484</v>
      </c>
      <c r="C111" s="1" t="s">
        <v>8</v>
      </c>
      <c r="D111" s="80">
        <v>9500</v>
      </c>
      <c r="E111" s="81">
        <f t="shared" si="3"/>
        <v>19.628099173553718</v>
      </c>
      <c r="F111" s="79">
        <v>200</v>
      </c>
      <c r="G111" s="82" t="s">
        <v>8</v>
      </c>
      <c r="H111" s="28">
        <f t="shared" ref="H111:H116" si="4">+F111*E111</f>
        <v>3925.6198347107434</v>
      </c>
    </row>
    <row r="112" spans="1:12" ht="15.75" thickBot="1" x14ac:dyDescent="0.3">
      <c r="A112" s="36" t="s">
        <v>182</v>
      </c>
      <c r="B112" s="36">
        <v>1000</v>
      </c>
      <c r="C112" s="36" t="s">
        <v>8</v>
      </c>
      <c r="D112" s="87">
        <v>2900</v>
      </c>
      <c r="E112" s="83">
        <f t="shared" si="3"/>
        <v>2.9</v>
      </c>
      <c r="F112" s="84">
        <v>250</v>
      </c>
      <c r="G112" s="85" t="s">
        <v>8</v>
      </c>
      <c r="H112" s="40">
        <f t="shared" si="4"/>
        <v>725</v>
      </c>
    </row>
    <row r="113" spans="1:8" ht="15.75" thickBot="1" x14ac:dyDescent="0.3">
      <c r="A113" s="1" t="s">
        <v>17</v>
      </c>
      <c r="B113" s="1">
        <v>6000</v>
      </c>
      <c r="C113" s="1" t="s">
        <v>11</v>
      </c>
      <c r="D113" s="88">
        <v>2700</v>
      </c>
      <c r="E113" s="81">
        <f t="shared" si="3"/>
        <v>0.45</v>
      </c>
      <c r="F113" s="1">
        <v>75</v>
      </c>
      <c r="G113" s="1" t="s">
        <v>11</v>
      </c>
      <c r="H113" s="28">
        <f t="shared" si="4"/>
        <v>33.75</v>
      </c>
    </row>
    <row r="114" spans="1:8" ht="15.75" thickBot="1" x14ac:dyDescent="0.3">
      <c r="A114" s="1" t="s">
        <v>106</v>
      </c>
      <c r="B114" s="1">
        <v>250</v>
      </c>
      <c r="C114" s="1" t="s">
        <v>8</v>
      </c>
      <c r="D114" s="28">
        <v>14300</v>
      </c>
      <c r="E114" s="92">
        <f t="shared" si="3"/>
        <v>57.2</v>
      </c>
      <c r="F114" s="1">
        <v>30</v>
      </c>
      <c r="G114" s="1" t="s">
        <v>8</v>
      </c>
      <c r="H114" s="28">
        <f t="shared" si="4"/>
        <v>1716</v>
      </c>
    </row>
    <row r="115" spans="1:8" ht="15.75" thickBot="1" x14ac:dyDescent="0.3">
      <c r="A115" s="1" t="s">
        <v>184</v>
      </c>
      <c r="B115" s="1">
        <v>100</v>
      </c>
      <c r="C115" s="1" t="s">
        <v>8</v>
      </c>
      <c r="D115" s="88">
        <v>4500</v>
      </c>
      <c r="E115" s="81">
        <f t="shared" si="3"/>
        <v>45</v>
      </c>
      <c r="F115" s="1">
        <v>25</v>
      </c>
      <c r="G115" s="1" t="s">
        <v>8</v>
      </c>
      <c r="H115" s="28">
        <f t="shared" si="4"/>
        <v>1125</v>
      </c>
    </row>
    <row r="116" spans="1:8" ht="15.75" thickBot="1" x14ac:dyDescent="0.3">
      <c r="A116" s="1" t="s">
        <v>185</v>
      </c>
      <c r="B116" s="1">
        <v>90</v>
      </c>
      <c r="C116" s="1" t="s">
        <v>8</v>
      </c>
      <c r="D116" s="28">
        <v>3400</v>
      </c>
      <c r="E116" s="89">
        <f t="shared" si="3"/>
        <v>37.777777777777779</v>
      </c>
      <c r="F116" s="1">
        <v>8</v>
      </c>
      <c r="G116" s="1" t="s">
        <v>8</v>
      </c>
      <c r="H116" s="28">
        <f t="shared" si="4"/>
        <v>302.22222222222223</v>
      </c>
    </row>
    <row r="117" spans="1:8" ht="15.75" thickBot="1" x14ac:dyDescent="0.3">
      <c r="A117" s="1" t="s">
        <v>186</v>
      </c>
      <c r="B117" s="1">
        <v>500</v>
      </c>
      <c r="C117" s="1" t="s">
        <v>8</v>
      </c>
      <c r="D117" s="28">
        <v>2350</v>
      </c>
      <c r="E117" s="1">
        <f t="shared" si="3"/>
        <v>4.7</v>
      </c>
      <c r="F117" s="1">
        <v>75</v>
      </c>
      <c r="G117" s="1" t="s">
        <v>8</v>
      </c>
      <c r="H117" s="28">
        <f>+F117*E117</f>
        <v>352.5</v>
      </c>
    </row>
    <row r="118" spans="1:8" ht="15.75" thickBot="1" x14ac:dyDescent="0.3">
      <c r="D118" s="86">
        <f>+SUM(D107+D108+D110+D111+D112+D113)</f>
        <v>44800</v>
      </c>
      <c r="H118" s="69">
        <f>+SUM(H107:H114)</f>
        <v>14742.869834710744</v>
      </c>
    </row>
    <row r="119" spans="1:8" ht="15.75" thickBot="1" x14ac:dyDescent="0.3"/>
    <row r="120" spans="1:8" ht="15.75" thickBot="1" x14ac:dyDescent="0.3">
      <c r="A120" s="124" t="s">
        <v>23</v>
      </c>
      <c r="B120" s="125"/>
      <c r="C120" s="10">
        <v>0.2</v>
      </c>
      <c r="E120" s="123" t="s">
        <v>22</v>
      </c>
      <c r="F120" s="123"/>
      <c r="G120" s="123"/>
      <c r="H120" s="9">
        <v>4833</v>
      </c>
    </row>
    <row r="121" spans="1:8" ht="15.75" thickBot="1" x14ac:dyDescent="0.3"/>
    <row r="122" spans="1:8" ht="15.75" thickBot="1" x14ac:dyDescent="0.3">
      <c r="A122" s="122" t="s">
        <v>21</v>
      </c>
      <c r="B122" s="122"/>
      <c r="C122" s="1">
        <v>1</v>
      </c>
      <c r="E122" s="122" t="s">
        <v>24</v>
      </c>
      <c r="F122" s="122"/>
      <c r="G122" s="122"/>
      <c r="H122" s="10">
        <v>0.02</v>
      </c>
    </row>
    <row r="123" spans="1:8" ht="15.75" thickBot="1" x14ac:dyDescent="0.3"/>
    <row r="124" spans="1:8" ht="15.75" thickBot="1" x14ac:dyDescent="0.3">
      <c r="A124" s="2" t="s">
        <v>58</v>
      </c>
      <c r="B124" s="55"/>
      <c r="C124" s="55"/>
      <c r="D124" s="55"/>
      <c r="E124" s="55"/>
    </row>
    <row r="125" spans="1:8" ht="15.75" thickBot="1" x14ac:dyDescent="0.3">
      <c r="A125" s="1" t="s">
        <v>16</v>
      </c>
      <c r="B125" s="1">
        <v>3</v>
      </c>
      <c r="C125" s="1" t="s">
        <v>20</v>
      </c>
      <c r="D125" s="7">
        <v>3115</v>
      </c>
      <c r="E125" s="7">
        <f>+D125*B125</f>
        <v>9345</v>
      </c>
    </row>
    <row r="126" spans="1:8" ht="15.75" thickBot="1" x14ac:dyDescent="0.3">
      <c r="A126" s="1" t="s">
        <v>17</v>
      </c>
      <c r="B126" s="1">
        <v>3</v>
      </c>
      <c r="C126" s="1" t="s">
        <v>18</v>
      </c>
      <c r="D126" s="7">
        <v>2744</v>
      </c>
      <c r="E126" s="7">
        <f>+D126*B126</f>
        <v>8232</v>
      </c>
    </row>
    <row r="127" spans="1:8" ht="15.75" thickBot="1" x14ac:dyDescent="0.3">
      <c r="A127" s="1" t="s">
        <v>19</v>
      </c>
      <c r="B127" s="1">
        <v>2</v>
      </c>
      <c r="C127" s="1" t="s">
        <v>20</v>
      </c>
      <c r="D127" s="7">
        <v>2744</v>
      </c>
      <c r="E127" s="7">
        <f>+D127*B127</f>
        <v>5488</v>
      </c>
    </row>
    <row r="128" spans="1:8" x14ac:dyDescent="0.25">
      <c r="B128" s="24"/>
    </row>
    <row r="129" spans="1:13" ht="15.75" thickBot="1" x14ac:dyDescent="0.3"/>
    <row r="130" spans="1:13" ht="15.75" thickBot="1" x14ac:dyDescent="0.3">
      <c r="A130" s="66"/>
      <c r="B130" s="1"/>
      <c r="C130" s="1"/>
      <c r="D130" s="22" t="s">
        <v>30</v>
      </c>
      <c r="E130" s="22" t="s">
        <v>58</v>
      </c>
      <c r="F130" s="22" t="s">
        <v>29</v>
      </c>
      <c r="G130" s="22"/>
      <c r="H130" s="2" t="s">
        <v>31</v>
      </c>
      <c r="I130" s="2" t="s">
        <v>32</v>
      </c>
      <c r="J130" s="23" t="s">
        <v>33</v>
      </c>
      <c r="K130" s="74" t="s">
        <v>177</v>
      </c>
    </row>
    <row r="131" spans="1:13" ht="15.75" thickBot="1" x14ac:dyDescent="0.3">
      <c r="A131" s="21" t="s">
        <v>175</v>
      </c>
      <c r="B131" s="1" t="s">
        <v>178</v>
      </c>
      <c r="C131" s="28">
        <f>600*10</f>
        <v>6000</v>
      </c>
      <c r="D131" s="7">
        <f>+C131+H118</f>
        <v>20742.869834710742</v>
      </c>
      <c r="E131" s="7">
        <f>+SUM(E125:E127)</f>
        <v>23065</v>
      </c>
      <c r="F131" s="7">
        <f>+C122*H120</f>
        <v>4833</v>
      </c>
      <c r="G131" s="9">
        <f>+D131+E131+F131</f>
        <v>48640.869834710742</v>
      </c>
      <c r="H131" s="11">
        <f>+G131*C120</f>
        <v>9728.1739669421495</v>
      </c>
      <c r="I131" s="11">
        <f>+G131*H122</f>
        <v>972.81739669421484</v>
      </c>
      <c r="J131" s="90">
        <f>+SUM(G131:I131)</f>
        <v>59341.861198347106</v>
      </c>
      <c r="K131" s="91">
        <f>J131/10</f>
        <v>5934.1861198347106</v>
      </c>
      <c r="L131" s="78">
        <v>8000</v>
      </c>
      <c r="M131" t="s">
        <v>211</v>
      </c>
    </row>
    <row r="132" spans="1:13" ht="15.75" thickBot="1" x14ac:dyDescent="0.3">
      <c r="A132" s="21" t="s">
        <v>176</v>
      </c>
      <c r="B132" s="1"/>
      <c r="C132" s="28">
        <f>300*10</f>
        <v>3000</v>
      </c>
      <c r="D132" s="5">
        <f>+C132+H118</f>
        <v>17742.869834710742</v>
      </c>
      <c r="E132" s="7">
        <f>+SUM(E125:E127)</f>
        <v>23065</v>
      </c>
      <c r="F132" s="7">
        <f>+C122*H120</f>
        <v>4833</v>
      </c>
      <c r="G132" s="9">
        <f>+D132+E132+F132</f>
        <v>45640.869834710742</v>
      </c>
      <c r="H132" s="11">
        <f>+G132*C120</f>
        <v>9128.1739669421495</v>
      </c>
      <c r="I132" s="11">
        <f>+G132*H122</f>
        <v>912.81739669421484</v>
      </c>
      <c r="J132" s="90">
        <f>+SUM(G132:I132)</f>
        <v>55681.861198347106</v>
      </c>
      <c r="K132" s="91">
        <f>J132/10</f>
        <v>5568.1861198347106</v>
      </c>
      <c r="L132" s="78">
        <v>7000</v>
      </c>
      <c r="M132" t="s">
        <v>212</v>
      </c>
    </row>
    <row r="133" spans="1:13" ht="15.75" thickBot="1" x14ac:dyDescent="0.3">
      <c r="A133" s="21" t="s">
        <v>174</v>
      </c>
      <c r="B133" s="1"/>
      <c r="C133" s="28">
        <f>350*10</f>
        <v>3500</v>
      </c>
      <c r="D133" s="7">
        <f>+C133+H118</f>
        <v>18242.869834710742</v>
      </c>
      <c r="E133" s="7">
        <f>+SUM(E125:E127)</f>
        <v>23065</v>
      </c>
      <c r="F133" s="7">
        <f>+C122*H120</f>
        <v>4833</v>
      </c>
      <c r="G133" s="9">
        <f>+D133+E133+F133</f>
        <v>46140.869834710742</v>
      </c>
      <c r="H133" s="11">
        <f>+G133*C120</f>
        <v>9228.1739669421495</v>
      </c>
      <c r="I133" s="11">
        <f>+G133*H122</f>
        <v>922.81739669421484</v>
      </c>
      <c r="J133" s="90">
        <f>ROUND(SUM(G133:I133),3)</f>
        <v>56291.860999999997</v>
      </c>
      <c r="K133" s="91">
        <f>J133/10</f>
        <v>5629.1860999999999</v>
      </c>
      <c r="L133" s="78">
        <v>6000</v>
      </c>
      <c r="M133" t="s">
        <v>213</v>
      </c>
    </row>
  </sheetData>
  <mergeCells count="44">
    <mergeCell ref="A122:B122"/>
    <mergeCell ref="E122:G122"/>
    <mergeCell ref="A90:B90"/>
    <mergeCell ref="E90:G90"/>
    <mergeCell ref="A92:E92"/>
    <mergeCell ref="A104:H104"/>
    <mergeCell ref="A105:D105"/>
    <mergeCell ref="A106:G106"/>
    <mergeCell ref="A108:A109"/>
    <mergeCell ref="F108:F109"/>
    <mergeCell ref="G108:G109"/>
    <mergeCell ref="A120:B120"/>
    <mergeCell ref="E120:G120"/>
    <mergeCell ref="A88:B88"/>
    <mergeCell ref="E88:G88"/>
    <mergeCell ref="A58:B58"/>
    <mergeCell ref="E58:G58"/>
    <mergeCell ref="A60:B60"/>
    <mergeCell ref="E60:G60"/>
    <mergeCell ref="A62:E62"/>
    <mergeCell ref="A75:H75"/>
    <mergeCell ref="A76:D76"/>
    <mergeCell ref="A77:G77"/>
    <mergeCell ref="A79:A80"/>
    <mergeCell ref="F79:F80"/>
    <mergeCell ref="G79:G80"/>
    <mergeCell ref="A45:H45"/>
    <mergeCell ref="A46:D46"/>
    <mergeCell ref="A47:G47"/>
    <mergeCell ref="A49:A50"/>
    <mergeCell ref="F49:F50"/>
    <mergeCell ref="G49:G50"/>
    <mergeCell ref="A31:E31"/>
    <mergeCell ref="A27:B27"/>
    <mergeCell ref="E27:G27"/>
    <mergeCell ref="A29:B29"/>
    <mergeCell ref="E29:G29"/>
    <mergeCell ref="A16:G16"/>
    <mergeCell ref="A18:A19"/>
    <mergeCell ref="F18:F19"/>
    <mergeCell ref="G18:G19"/>
    <mergeCell ref="A1:E11"/>
    <mergeCell ref="A15:D15"/>
    <mergeCell ref="A14:H14"/>
  </mergeCells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CB03-37DB-4208-8AB5-683B73393932}">
  <dimension ref="A1:AT37"/>
  <sheetViews>
    <sheetView topLeftCell="Y2" zoomScaleNormal="100" workbookViewId="0">
      <selection activeCell="AE11" sqref="AE11"/>
    </sheetView>
  </sheetViews>
  <sheetFormatPr baseColWidth="10" defaultRowHeight="15" x14ac:dyDescent="0.25"/>
  <cols>
    <col min="1" max="1" width="15.28515625" customWidth="1"/>
    <col min="2" max="2" width="18" customWidth="1"/>
    <col min="3" max="3" width="15.140625" customWidth="1"/>
    <col min="4" max="4" width="18.5703125" customWidth="1"/>
    <col min="5" max="5" width="17.28515625" customWidth="1"/>
    <col min="8" max="8" width="22.28515625" customWidth="1"/>
    <col min="9" max="9" width="17.5703125" customWidth="1"/>
    <col min="10" max="10" width="4.5703125" customWidth="1"/>
    <col min="12" max="12" width="4.7109375" customWidth="1"/>
    <col min="13" max="13" width="16.140625" customWidth="1"/>
    <col min="17" max="17" width="16.5703125" customWidth="1"/>
    <col min="18" max="18" width="18.42578125" customWidth="1"/>
    <col min="21" max="21" width="18.42578125" customWidth="1"/>
    <col min="22" max="22" width="6.42578125" customWidth="1"/>
    <col min="23" max="23" width="13" customWidth="1"/>
    <col min="27" max="27" width="13.5703125" customWidth="1"/>
    <col min="29" max="29" width="18.28515625" customWidth="1"/>
    <col min="30" max="30" width="4.28515625" customWidth="1"/>
    <col min="32" max="32" width="20.140625" customWidth="1"/>
    <col min="34" max="34" width="20.5703125" customWidth="1"/>
    <col min="38" max="38" width="19.85546875" customWidth="1"/>
    <col min="41" max="41" width="11.5703125" customWidth="1"/>
  </cols>
  <sheetData>
    <row r="1" spans="1:46" ht="16.5" thickTop="1" thickBot="1" x14ac:dyDescent="0.3">
      <c r="A1" s="169" t="s">
        <v>102</v>
      </c>
      <c r="B1" s="169"/>
      <c r="L1" s="170" t="s">
        <v>123</v>
      </c>
      <c r="M1" s="171"/>
      <c r="N1" s="56"/>
    </row>
    <row r="2" spans="1:46" ht="15.75" thickBot="1" x14ac:dyDescent="0.3">
      <c r="A2" s="57" t="s">
        <v>61</v>
      </c>
      <c r="B2" s="57" t="s">
        <v>70</v>
      </c>
      <c r="C2" s="22" t="s">
        <v>62</v>
      </c>
      <c r="D2" s="22" t="s">
        <v>63</v>
      </c>
      <c r="E2" s="22" t="s">
        <v>68</v>
      </c>
      <c r="F2" s="22" t="s">
        <v>64</v>
      </c>
      <c r="G2" s="22" t="s">
        <v>65</v>
      </c>
      <c r="H2" s="22" t="s">
        <v>79</v>
      </c>
    </row>
    <row r="3" spans="1:46" ht="15.75" thickBot="1" x14ac:dyDescent="0.3">
      <c r="A3" s="1" t="s">
        <v>66</v>
      </c>
      <c r="B3" s="1" t="s">
        <v>78</v>
      </c>
      <c r="C3" s="1" t="s">
        <v>71</v>
      </c>
      <c r="D3" s="1" t="s">
        <v>67</v>
      </c>
      <c r="E3" s="1" t="s">
        <v>69</v>
      </c>
      <c r="F3" s="1"/>
      <c r="G3" s="28">
        <v>16000</v>
      </c>
      <c r="H3" s="1" t="s">
        <v>80</v>
      </c>
      <c r="I3" s="61" t="s">
        <v>122</v>
      </c>
      <c r="J3" s="61"/>
      <c r="K3" t="s">
        <v>42</v>
      </c>
      <c r="L3" s="1" t="s">
        <v>142</v>
      </c>
      <c r="M3" s="22" t="s">
        <v>61</v>
      </c>
      <c r="N3" s="22" t="s">
        <v>142</v>
      </c>
      <c r="O3" s="22" t="s">
        <v>70</v>
      </c>
      <c r="P3" s="22" t="s">
        <v>62</v>
      </c>
      <c r="Q3" s="22" t="s">
        <v>63</v>
      </c>
      <c r="R3" s="22" t="s">
        <v>68</v>
      </c>
      <c r="S3" s="22" t="s">
        <v>64</v>
      </c>
      <c r="T3" s="22" t="s">
        <v>65</v>
      </c>
      <c r="U3" s="22" t="s">
        <v>79</v>
      </c>
      <c r="V3" s="1" t="s">
        <v>147</v>
      </c>
      <c r="W3" s="22" t="s">
        <v>148</v>
      </c>
      <c r="X3" s="22" t="s">
        <v>149</v>
      </c>
      <c r="Y3" s="22" t="s">
        <v>150</v>
      </c>
      <c r="AD3" s="1"/>
      <c r="AE3" s="169" t="s">
        <v>187</v>
      </c>
      <c r="AF3" s="169"/>
      <c r="AO3" s="172" t="s">
        <v>214</v>
      </c>
      <c r="AP3" s="181" t="s">
        <v>175</v>
      </c>
      <c r="AQ3" s="137"/>
      <c r="AR3" s="138"/>
      <c r="AS3" s="138"/>
      <c r="AT3" s="139"/>
    </row>
    <row r="4" spans="1:46" ht="15.75" thickBot="1" x14ac:dyDescent="0.3">
      <c r="A4" s="1" t="s">
        <v>72</v>
      </c>
      <c r="B4" s="1" t="s">
        <v>78</v>
      </c>
      <c r="C4" s="1" t="s">
        <v>73</v>
      </c>
      <c r="D4" s="1" t="s">
        <v>74</v>
      </c>
      <c r="E4" s="1" t="s">
        <v>75</v>
      </c>
      <c r="F4" s="1">
        <v>3213565509</v>
      </c>
      <c r="G4" s="28">
        <v>8000</v>
      </c>
      <c r="H4" s="1" t="s">
        <v>80</v>
      </c>
      <c r="K4" t="s">
        <v>42</v>
      </c>
      <c r="L4" s="1">
        <v>1</v>
      </c>
      <c r="M4" s="1" t="s">
        <v>66</v>
      </c>
      <c r="N4" s="1">
        <v>2</v>
      </c>
      <c r="O4" s="1" t="s">
        <v>78</v>
      </c>
      <c r="P4" s="1" t="s">
        <v>125</v>
      </c>
      <c r="Q4" s="1" t="s">
        <v>67</v>
      </c>
      <c r="R4" s="1" t="s">
        <v>69</v>
      </c>
      <c r="S4" s="1"/>
      <c r="T4" s="28">
        <v>16000</v>
      </c>
      <c r="U4" s="1" t="s">
        <v>129</v>
      </c>
      <c r="V4" s="1"/>
      <c r="W4" s="1"/>
      <c r="X4" s="1"/>
      <c r="Y4" s="1" t="s">
        <v>146</v>
      </c>
      <c r="Z4" t="s">
        <v>42</v>
      </c>
      <c r="AD4" s="1"/>
      <c r="AE4" s="57" t="s">
        <v>61</v>
      </c>
      <c r="AF4" s="57" t="s">
        <v>70</v>
      </c>
      <c r="AG4" s="22" t="s">
        <v>62</v>
      </c>
      <c r="AH4" s="22" t="s">
        <v>63</v>
      </c>
      <c r="AI4" s="22" t="s">
        <v>68</v>
      </c>
      <c r="AJ4" s="22" t="s">
        <v>64</v>
      </c>
      <c r="AK4" s="22" t="s">
        <v>65</v>
      </c>
      <c r="AL4" s="22" t="s">
        <v>79</v>
      </c>
      <c r="AM4" s="22" t="s">
        <v>193</v>
      </c>
      <c r="AO4" s="173"/>
      <c r="AP4" s="181"/>
      <c r="AQ4" s="140"/>
      <c r="AR4" s="141"/>
      <c r="AS4" s="141"/>
      <c r="AT4" s="142"/>
    </row>
    <row r="5" spans="1:46" ht="15.75" thickBot="1" x14ac:dyDescent="0.3">
      <c r="A5" s="1" t="s">
        <v>76</v>
      </c>
      <c r="B5" s="1" t="s">
        <v>77</v>
      </c>
      <c r="C5" s="1" t="s">
        <v>73</v>
      </c>
      <c r="D5" s="1"/>
      <c r="E5" s="1"/>
      <c r="F5" s="1"/>
      <c r="G5" s="28">
        <v>22000</v>
      </c>
      <c r="H5" s="1" t="s">
        <v>81</v>
      </c>
      <c r="K5" t="s">
        <v>42</v>
      </c>
      <c r="L5" s="1">
        <v>2</v>
      </c>
      <c r="M5" s="1" t="s">
        <v>124</v>
      </c>
      <c r="N5" s="1">
        <v>6</v>
      </c>
      <c r="O5" s="1" t="s">
        <v>77</v>
      </c>
      <c r="P5" s="1" t="s">
        <v>125</v>
      </c>
      <c r="Q5" s="1" t="s">
        <v>126</v>
      </c>
      <c r="R5" s="1" t="s">
        <v>127</v>
      </c>
      <c r="S5" s="1">
        <v>3183339487</v>
      </c>
      <c r="T5" s="28">
        <v>22000</v>
      </c>
      <c r="U5" s="1" t="s">
        <v>129</v>
      </c>
      <c r="V5" s="1"/>
      <c r="W5" s="1"/>
      <c r="X5" s="1"/>
      <c r="Y5" s="1" t="s">
        <v>146</v>
      </c>
      <c r="AD5" s="176">
        <v>1</v>
      </c>
      <c r="AE5" s="134" t="s">
        <v>128</v>
      </c>
      <c r="AF5" s="1" t="s">
        <v>78</v>
      </c>
      <c r="AG5" s="1">
        <v>2</v>
      </c>
      <c r="AH5" s="1" t="s">
        <v>42</v>
      </c>
      <c r="AI5" s="1" t="s">
        <v>42</v>
      </c>
      <c r="AJ5" s="1"/>
      <c r="AK5" s="28">
        <v>8000</v>
      </c>
      <c r="AL5" s="1" t="s">
        <v>188</v>
      </c>
      <c r="AM5" s="1"/>
      <c r="AO5" s="173"/>
      <c r="AP5" s="181"/>
      <c r="AQ5" s="140"/>
      <c r="AR5" s="141"/>
      <c r="AS5" s="141"/>
      <c r="AT5" s="142"/>
    </row>
    <row r="6" spans="1:46" ht="15.75" thickBot="1" x14ac:dyDescent="0.3">
      <c r="A6" s="1" t="s">
        <v>82</v>
      </c>
      <c r="B6" s="1" t="s">
        <v>83</v>
      </c>
      <c r="C6" s="1" t="s">
        <v>73</v>
      </c>
      <c r="D6" s="1"/>
      <c r="E6" s="1"/>
      <c r="F6" s="1"/>
      <c r="G6" s="28">
        <v>22000</v>
      </c>
      <c r="H6" s="1" t="s">
        <v>80</v>
      </c>
      <c r="K6" t="s">
        <v>42</v>
      </c>
      <c r="L6" s="1">
        <v>3</v>
      </c>
      <c r="M6" s="1" t="s">
        <v>87</v>
      </c>
      <c r="N6" s="1">
        <v>2</v>
      </c>
      <c r="O6" s="1" t="s">
        <v>88</v>
      </c>
      <c r="P6" s="1" t="s">
        <v>73</v>
      </c>
      <c r="Q6" s="1" t="s">
        <v>89</v>
      </c>
      <c r="R6" s="1" t="s">
        <v>90</v>
      </c>
      <c r="S6" s="1">
        <v>3115846972</v>
      </c>
      <c r="T6" s="28">
        <v>8000</v>
      </c>
      <c r="U6" s="1" t="s">
        <v>129</v>
      </c>
      <c r="V6" s="1"/>
      <c r="W6" s="1"/>
      <c r="X6" s="1"/>
      <c r="Y6" s="1" t="s">
        <v>146</v>
      </c>
      <c r="AD6" s="177"/>
      <c r="AE6" s="136"/>
      <c r="AF6" s="1" t="s">
        <v>78</v>
      </c>
      <c r="AG6" s="1">
        <v>2</v>
      </c>
      <c r="AH6" s="1" t="s">
        <v>42</v>
      </c>
      <c r="AI6" s="1" t="s">
        <v>42</v>
      </c>
      <c r="AJ6" s="1"/>
      <c r="AK6" s="28">
        <v>8000</v>
      </c>
      <c r="AL6" s="1" t="s">
        <v>189</v>
      </c>
      <c r="AM6" s="1"/>
      <c r="AO6" s="173"/>
      <c r="AP6" s="181"/>
      <c r="AQ6" s="140"/>
      <c r="AR6" s="141"/>
      <c r="AS6" s="141"/>
      <c r="AT6" s="142"/>
    </row>
    <row r="7" spans="1:46" ht="15.75" thickBot="1" x14ac:dyDescent="0.3">
      <c r="A7" s="1" t="s">
        <v>84</v>
      </c>
      <c r="B7" s="1" t="s">
        <v>83</v>
      </c>
      <c r="C7" s="1" t="s">
        <v>73</v>
      </c>
      <c r="D7" s="1" t="s">
        <v>85</v>
      </c>
      <c r="E7" s="1" t="s">
        <v>86</v>
      </c>
      <c r="F7" s="1">
        <v>3015879340</v>
      </c>
      <c r="G7" s="28">
        <v>22000</v>
      </c>
      <c r="H7" s="1" t="s">
        <v>80</v>
      </c>
      <c r="L7" s="1">
        <v>4</v>
      </c>
      <c r="M7" s="1" t="s">
        <v>128</v>
      </c>
      <c r="N7" s="1">
        <v>2</v>
      </c>
      <c r="O7" s="1" t="s">
        <v>78</v>
      </c>
      <c r="P7" s="1" t="s">
        <v>125</v>
      </c>
      <c r="Q7" s="1" t="s">
        <v>42</v>
      </c>
      <c r="R7" s="1" t="s">
        <v>42</v>
      </c>
      <c r="S7" s="1" t="s">
        <v>141</v>
      </c>
      <c r="T7" s="28">
        <v>8000</v>
      </c>
      <c r="U7" s="1" t="s">
        <v>129</v>
      </c>
      <c r="V7" s="1"/>
      <c r="W7" s="1"/>
      <c r="X7" s="1"/>
      <c r="Y7" s="1" t="s">
        <v>146</v>
      </c>
      <c r="AD7" s="176">
        <v>2</v>
      </c>
      <c r="AE7" s="134" t="s">
        <v>190</v>
      </c>
      <c r="AF7" s="1" t="s">
        <v>78</v>
      </c>
      <c r="AG7" s="1">
        <v>2</v>
      </c>
      <c r="AH7" s="1"/>
      <c r="AI7" s="1"/>
      <c r="AJ7" s="1"/>
      <c r="AK7" s="28">
        <v>8000</v>
      </c>
      <c r="AL7" s="1" t="s">
        <v>191</v>
      </c>
      <c r="AM7" s="1"/>
      <c r="AO7" s="173"/>
      <c r="AP7" s="181"/>
      <c r="AQ7" s="140"/>
      <c r="AR7" s="141"/>
      <c r="AS7" s="141"/>
      <c r="AT7" s="142"/>
    </row>
    <row r="8" spans="1:46" ht="15.75" thickBot="1" x14ac:dyDescent="0.3">
      <c r="A8" s="1" t="s">
        <v>92</v>
      </c>
      <c r="B8" s="1" t="s">
        <v>93</v>
      </c>
      <c r="C8" s="1">
        <v>1</v>
      </c>
      <c r="D8" s="1"/>
      <c r="E8" s="1"/>
      <c r="F8" s="1"/>
      <c r="G8" s="28">
        <v>5000</v>
      </c>
      <c r="H8" s="1" t="s">
        <v>80</v>
      </c>
      <c r="I8" t="s">
        <v>122</v>
      </c>
      <c r="L8" s="1">
        <v>5</v>
      </c>
      <c r="M8" s="1" t="s">
        <v>130</v>
      </c>
      <c r="N8" s="1">
        <v>2</v>
      </c>
      <c r="O8" s="1" t="s">
        <v>78</v>
      </c>
      <c r="P8" s="1" t="s">
        <v>125</v>
      </c>
      <c r="Q8" s="1" t="s">
        <v>131</v>
      </c>
      <c r="R8" s="1" t="s">
        <v>132</v>
      </c>
      <c r="S8" s="1">
        <v>3154519033</v>
      </c>
      <c r="T8" s="28">
        <v>8000</v>
      </c>
      <c r="U8" s="1" t="s">
        <v>134</v>
      </c>
      <c r="V8" s="1"/>
      <c r="W8" s="1" t="s">
        <v>146</v>
      </c>
      <c r="X8" s="1"/>
      <c r="Y8" s="1"/>
      <c r="AD8" s="177"/>
      <c r="AE8" s="136"/>
      <c r="AF8" s="1" t="s">
        <v>78</v>
      </c>
      <c r="AG8" s="1">
        <v>2</v>
      </c>
      <c r="AH8" s="1"/>
      <c r="AI8" s="1"/>
      <c r="AJ8" s="1"/>
      <c r="AK8" s="28">
        <v>8000</v>
      </c>
      <c r="AL8" s="1" t="s">
        <v>191</v>
      </c>
      <c r="AM8" s="1"/>
      <c r="AO8" s="173"/>
      <c r="AP8" s="181"/>
      <c r="AQ8" s="140"/>
      <c r="AR8" s="141"/>
      <c r="AS8" s="141"/>
      <c r="AT8" s="142"/>
    </row>
    <row r="9" spans="1:46" ht="15.75" thickBot="1" x14ac:dyDescent="0.3">
      <c r="A9" s="1" t="s">
        <v>87</v>
      </c>
      <c r="B9" s="1" t="s">
        <v>88</v>
      </c>
      <c r="C9" s="1" t="s">
        <v>73</v>
      </c>
      <c r="D9" s="1" t="s">
        <v>89</v>
      </c>
      <c r="E9" s="1" t="s">
        <v>90</v>
      </c>
      <c r="F9" s="1">
        <v>3115846972</v>
      </c>
      <c r="G9" s="28">
        <v>8000</v>
      </c>
      <c r="H9" s="1" t="s">
        <v>91</v>
      </c>
      <c r="K9" t="s">
        <v>42</v>
      </c>
      <c r="L9" s="1">
        <v>6</v>
      </c>
      <c r="M9" s="1" t="s">
        <v>92</v>
      </c>
      <c r="N9" s="1">
        <v>2</v>
      </c>
      <c r="O9" s="1" t="s">
        <v>78</v>
      </c>
      <c r="P9" s="1" t="s">
        <v>125</v>
      </c>
      <c r="Q9" s="1" t="s">
        <v>42</v>
      </c>
      <c r="R9" s="1" t="s">
        <v>42</v>
      </c>
      <c r="S9" s="1" t="s">
        <v>140</v>
      </c>
      <c r="T9" s="28">
        <v>8000</v>
      </c>
      <c r="U9" s="1" t="s">
        <v>134</v>
      </c>
      <c r="V9" s="1" t="s">
        <v>146</v>
      </c>
      <c r="W9" s="1"/>
      <c r="X9" s="1"/>
      <c r="Y9" s="1"/>
      <c r="AD9" s="93">
        <v>3</v>
      </c>
      <c r="AE9" s="99" t="s">
        <v>87</v>
      </c>
      <c r="AF9" s="100" t="s">
        <v>192</v>
      </c>
      <c r="AG9" s="100">
        <v>1</v>
      </c>
      <c r="AH9" s="100"/>
      <c r="AI9" s="100"/>
      <c r="AJ9" s="100"/>
      <c r="AK9" s="101">
        <v>8000</v>
      </c>
      <c r="AL9" s="100"/>
      <c r="AM9" s="100" t="s">
        <v>194</v>
      </c>
      <c r="AO9" s="173"/>
      <c r="AP9" s="181"/>
      <c r="AQ9" s="140"/>
      <c r="AR9" s="141"/>
      <c r="AS9" s="141"/>
      <c r="AT9" s="142"/>
    </row>
    <row r="10" spans="1:46" ht="15.75" thickBot="1" x14ac:dyDescent="0.3">
      <c r="A10" s="22" t="s">
        <v>94</v>
      </c>
      <c r="B10" s="22">
        <f>2+2+6+6+6+1+2</f>
        <v>25</v>
      </c>
      <c r="C10" s="1">
        <v>8</v>
      </c>
      <c r="G10" s="30">
        <f>+SUM(G3:G9)</f>
        <v>103000</v>
      </c>
      <c r="L10" s="1">
        <v>7</v>
      </c>
      <c r="M10" s="1" t="s">
        <v>151</v>
      </c>
      <c r="N10" s="1">
        <v>6</v>
      </c>
      <c r="O10" s="1" t="s">
        <v>77</v>
      </c>
      <c r="P10" s="1" t="s">
        <v>125</v>
      </c>
      <c r="Q10" s="122" t="s">
        <v>137</v>
      </c>
      <c r="R10" s="122"/>
      <c r="S10" s="1" t="s">
        <v>139</v>
      </c>
      <c r="T10" s="28">
        <v>22000</v>
      </c>
      <c r="U10" s="1" t="s">
        <v>133</v>
      </c>
      <c r="V10" s="1"/>
      <c r="W10" s="1"/>
      <c r="X10" s="1"/>
      <c r="Y10" s="1" t="s">
        <v>146</v>
      </c>
      <c r="AD10" s="93">
        <v>4</v>
      </c>
      <c r="AE10" s="67" t="s">
        <v>223</v>
      </c>
      <c r="AF10" s="1" t="s">
        <v>77</v>
      </c>
      <c r="AG10" s="1">
        <v>6</v>
      </c>
      <c r="AH10" s="1"/>
      <c r="AI10" s="1"/>
      <c r="AJ10" s="1"/>
      <c r="AK10" s="28">
        <v>22000</v>
      </c>
      <c r="AL10" s="1" t="s">
        <v>195</v>
      </c>
      <c r="AM10" s="1"/>
      <c r="AO10" s="173"/>
      <c r="AP10" s="181"/>
      <c r="AQ10" s="140"/>
      <c r="AR10" s="141"/>
      <c r="AS10" s="141"/>
      <c r="AT10" s="142"/>
    </row>
    <row r="11" spans="1:46" ht="15.75" thickBot="1" x14ac:dyDescent="0.3">
      <c r="F11" s="58"/>
      <c r="L11" s="1">
        <v>8</v>
      </c>
      <c r="M11" s="133" t="s">
        <v>135</v>
      </c>
      <c r="N11" s="71">
        <v>6</v>
      </c>
      <c r="O11" s="1" t="s">
        <v>77</v>
      </c>
      <c r="P11" s="1" t="s">
        <v>136</v>
      </c>
      <c r="Q11" s="152" t="s">
        <v>137</v>
      </c>
      <c r="R11" s="152"/>
      <c r="S11" s="152" t="s">
        <v>138</v>
      </c>
      <c r="T11" s="70">
        <v>22000</v>
      </c>
      <c r="U11" s="152" t="s">
        <v>129</v>
      </c>
      <c r="V11" s="155" t="s">
        <v>146</v>
      </c>
      <c r="W11" s="166"/>
      <c r="X11" s="166"/>
      <c r="Y11" s="1"/>
      <c r="AD11" s="93">
        <v>5</v>
      </c>
      <c r="AE11" s="102" t="s">
        <v>196</v>
      </c>
      <c r="AF11" s="103" t="s">
        <v>197</v>
      </c>
      <c r="AG11" s="103">
        <v>2</v>
      </c>
      <c r="AH11" s="103"/>
      <c r="AI11" s="103"/>
      <c r="AJ11" s="103"/>
      <c r="AK11" s="104">
        <f>6000*2</f>
        <v>12000</v>
      </c>
      <c r="AL11" s="103"/>
      <c r="AM11" s="103" t="s">
        <v>198</v>
      </c>
      <c r="AO11" s="173"/>
      <c r="AP11" s="181"/>
      <c r="AQ11" s="140"/>
      <c r="AR11" s="141"/>
      <c r="AS11" s="141"/>
      <c r="AT11" s="142"/>
    </row>
    <row r="12" spans="1:46" ht="15.75" thickBot="1" x14ac:dyDescent="0.3">
      <c r="A12" s="1" t="s">
        <v>97</v>
      </c>
      <c r="B12" s="1">
        <v>1</v>
      </c>
      <c r="L12" s="1">
        <v>9</v>
      </c>
      <c r="M12" s="133"/>
      <c r="N12" s="71">
        <v>2</v>
      </c>
      <c r="O12" s="1" t="s">
        <v>78</v>
      </c>
      <c r="P12" s="1" t="s">
        <v>125</v>
      </c>
      <c r="Q12" s="152"/>
      <c r="R12" s="152"/>
      <c r="S12" s="152"/>
      <c r="T12" s="70">
        <v>8000</v>
      </c>
      <c r="U12" s="152"/>
      <c r="V12" s="156"/>
      <c r="W12" s="150"/>
      <c r="X12" s="150"/>
      <c r="Y12" s="1"/>
      <c r="AD12" s="93">
        <v>6</v>
      </c>
      <c r="AE12" s="102" t="s">
        <v>199</v>
      </c>
      <c r="AF12" s="103" t="s">
        <v>197</v>
      </c>
      <c r="AG12" s="103">
        <v>1</v>
      </c>
      <c r="AH12" s="103" t="s">
        <v>204</v>
      </c>
      <c r="AI12" s="103" t="s">
        <v>205</v>
      </c>
      <c r="AJ12" s="103"/>
      <c r="AK12" s="104">
        <v>8000</v>
      </c>
      <c r="AL12" s="103"/>
      <c r="AM12" s="103" t="s">
        <v>200</v>
      </c>
      <c r="AO12" s="173"/>
      <c r="AP12" s="181"/>
      <c r="AQ12" s="143"/>
      <c r="AR12" s="144"/>
      <c r="AS12" s="144"/>
      <c r="AT12" s="145"/>
    </row>
    <row r="13" spans="1:46" ht="15.75" thickBot="1" x14ac:dyDescent="0.3">
      <c r="A13" s="1" t="s">
        <v>95</v>
      </c>
      <c r="B13" s="1">
        <v>4</v>
      </c>
      <c r="L13" s="1">
        <v>10</v>
      </c>
      <c r="M13" s="1" t="s">
        <v>153</v>
      </c>
      <c r="N13" s="1">
        <v>6</v>
      </c>
      <c r="O13" s="1" t="s">
        <v>77</v>
      </c>
      <c r="P13" s="1" t="s">
        <v>73</v>
      </c>
      <c r="Q13" s="1" t="s">
        <v>154</v>
      </c>
      <c r="R13" s="1" t="s">
        <v>155</v>
      </c>
      <c r="S13" s="1">
        <v>3232375343</v>
      </c>
      <c r="T13" s="28">
        <v>22000</v>
      </c>
      <c r="U13" s="1" t="s">
        <v>152</v>
      </c>
      <c r="V13" s="1"/>
      <c r="W13" s="1"/>
      <c r="X13" s="1"/>
      <c r="Y13" s="1" t="s">
        <v>146</v>
      </c>
      <c r="AD13" s="176">
        <v>7</v>
      </c>
      <c r="AE13" s="134" t="s">
        <v>201</v>
      </c>
      <c r="AF13" s="1" t="s">
        <v>78</v>
      </c>
      <c r="AG13" s="1">
        <v>2</v>
      </c>
      <c r="AH13" s="1"/>
      <c r="AI13" s="1"/>
      <c r="AJ13" s="1"/>
      <c r="AK13" s="28">
        <v>8000</v>
      </c>
      <c r="AL13" s="1" t="s">
        <v>191</v>
      </c>
      <c r="AM13" s="1"/>
      <c r="AO13" s="172" t="s">
        <v>215</v>
      </c>
      <c r="AP13" s="181" t="s">
        <v>176</v>
      </c>
      <c r="AQ13" s="137"/>
      <c r="AR13" s="138"/>
      <c r="AS13" s="138"/>
      <c r="AT13" s="139"/>
    </row>
    <row r="14" spans="1:46" ht="15.75" thickBot="1" x14ac:dyDescent="0.3">
      <c r="A14" s="1" t="s">
        <v>96</v>
      </c>
      <c r="B14" s="1">
        <v>3</v>
      </c>
      <c r="L14" s="167">
        <v>11</v>
      </c>
      <c r="M14" s="134" t="s">
        <v>156</v>
      </c>
      <c r="N14" s="1">
        <v>6</v>
      </c>
      <c r="O14" s="1" t="s">
        <v>77</v>
      </c>
      <c r="P14" s="1" t="s">
        <v>125</v>
      </c>
      <c r="Q14" s="137" t="s">
        <v>42</v>
      </c>
      <c r="R14" s="139"/>
      <c r="S14" s="166"/>
      <c r="T14" s="70">
        <v>22000</v>
      </c>
      <c r="U14" s="1" t="s">
        <v>158</v>
      </c>
      <c r="V14" s="166"/>
      <c r="W14" s="166"/>
      <c r="X14" s="166"/>
      <c r="Y14" s="134" t="s">
        <v>146</v>
      </c>
      <c r="AD14" s="177"/>
      <c r="AE14" s="136"/>
      <c r="AF14" s="1" t="s">
        <v>202</v>
      </c>
      <c r="AG14" s="1">
        <v>1</v>
      </c>
      <c r="AH14" s="1"/>
      <c r="AI14" s="1"/>
      <c r="AJ14" s="1"/>
      <c r="AK14" s="28">
        <v>2000</v>
      </c>
      <c r="AL14" s="1" t="s">
        <v>191</v>
      </c>
      <c r="AM14" s="1"/>
      <c r="AO14" s="173"/>
      <c r="AP14" s="181"/>
      <c r="AQ14" s="140"/>
      <c r="AR14" s="141"/>
      <c r="AS14" s="141"/>
      <c r="AT14" s="142"/>
    </row>
    <row r="15" spans="1:46" ht="15.75" thickBot="1" x14ac:dyDescent="0.3">
      <c r="B15" s="1">
        <f>+SUM(B12:B14)</f>
        <v>8</v>
      </c>
      <c r="L15" s="168"/>
      <c r="M15" s="136"/>
      <c r="N15" s="1">
        <v>1</v>
      </c>
      <c r="O15" s="1" t="s">
        <v>97</v>
      </c>
      <c r="P15" s="1" t="s">
        <v>73</v>
      </c>
      <c r="Q15" s="143"/>
      <c r="R15" s="145"/>
      <c r="S15" s="150"/>
      <c r="T15" s="70">
        <v>5000</v>
      </c>
      <c r="U15" s="1" t="s">
        <v>159</v>
      </c>
      <c r="V15" s="150"/>
      <c r="W15" s="150"/>
      <c r="X15" s="150"/>
      <c r="Y15" s="136"/>
      <c r="AD15" s="93">
        <v>8</v>
      </c>
      <c r="AE15" s="67" t="s">
        <v>203</v>
      </c>
      <c r="AF15" s="1" t="s">
        <v>206</v>
      </c>
      <c r="AG15" s="1">
        <v>6</v>
      </c>
      <c r="AH15" s="1"/>
      <c r="AI15" s="1"/>
      <c r="AJ15" s="1"/>
      <c r="AK15" s="28">
        <v>22000</v>
      </c>
      <c r="AL15" s="1" t="s">
        <v>222</v>
      </c>
      <c r="AM15" s="1"/>
      <c r="AO15" s="173"/>
      <c r="AP15" s="181"/>
      <c r="AQ15" s="140"/>
      <c r="AR15" s="141"/>
      <c r="AS15" s="141"/>
      <c r="AT15" s="142"/>
    </row>
    <row r="16" spans="1:46" ht="15.75" thickBot="1" x14ac:dyDescent="0.3">
      <c r="L16" s="1">
        <v>12</v>
      </c>
      <c r="M16" s="1" t="s">
        <v>157</v>
      </c>
      <c r="N16" s="1">
        <v>6</v>
      </c>
      <c r="O16" s="1" t="s">
        <v>83</v>
      </c>
      <c r="P16" s="1" t="s">
        <v>125</v>
      </c>
      <c r="Q16" s="1" t="s">
        <v>42</v>
      </c>
      <c r="R16" s="1" t="s">
        <v>42</v>
      </c>
      <c r="S16" s="1" t="s">
        <v>42</v>
      </c>
      <c r="T16" s="1">
        <v>22000</v>
      </c>
      <c r="U16" s="1"/>
      <c r="V16" s="1"/>
      <c r="W16" s="1"/>
      <c r="X16" s="1"/>
      <c r="Y16" s="1"/>
      <c r="AD16" s="176">
        <v>9</v>
      </c>
      <c r="AE16" s="134" t="s">
        <v>207</v>
      </c>
      <c r="AF16" s="1" t="s">
        <v>77</v>
      </c>
      <c r="AG16" s="1">
        <v>6</v>
      </c>
      <c r="AH16" s="179" t="s">
        <v>208</v>
      </c>
      <c r="AI16" s="179" t="s">
        <v>209</v>
      </c>
      <c r="AJ16" s="174"/>
      <c r="AK16" s="109">
        <v>22000</v>
      </c>
      <c r="AL16" s="1" t="s">
        <v>210</v>
      </c>
      <c r="AM16" s="1"/>
      <c r="AO16" s="173"/>
      <c r="AP16" s="181"/>
      <c r="AQ16" s="140"/>
      <c r="AR16" s="141"/>
      <c r="AS16" s="141"/>
      <c r="AT16" s="142"/>
    </row>
    <row r="17" spans="1:46" ht="15.75" thickBot="1" x14ac:dyDescent="0.3">
      <c r="A17" s="56" t="s">
        <v>13</v>
      </c>
      <c r="M17" s="57" t="s">
        <v>94</v>
      </c>
      <c r="N17" s="57">
        <f>+SUM(N4:N16)</f>
        <v>49</v>
      </c>
      <c r="O17" s="57">
        <v>10</v>
      </c>
      <c r="P17" s="68"/>
      <c r="T17" s="69">
        <f>+SUM(T4:T16)</f>
        <v>193000</v>
      </c>
      <c r="AD17" s="178"/>
      <c r="AE17" s="135"/>
      <c r="AF17" s="105" t="s">
        <v>197</v>
      </c>
      <c r="AG17" s="105">
        <v>1</v>
      </c>
      <c r="AH17" s="180"/>
      <c r="AI17" s="180"/>
      <c r="AJ17" s="175"/>
      <c r="AK17" s="107">
        <v>8000</v>
      </c>
      <c r="AL17" s="105"/>
      <c r="AM17" s="105" t="s">
        <v>194</v>
      </c>
      <c r="AO17" s="173"/>
      <c r="AP17" s="181"/>
      <c r="AQ17" s="140"/>
      <c r="AR17" s="141"/>
      <c r="AS17" s="141"/>
      <c r="AT17" s="142"/>
    </row>
    <row r="18" spans="1:46" ht="15.75" thickBot="1" x14ac:dyDescent="0.3">
      <c r="A18" t="s">
        <v>98</v>
      </c>
      <c r="AD18" s="94">
        <v>10</v>
      </c>
      <c r="AE18" s="95" t="s">
        <v>218</v>
      </c>
      <c r="AF18" s="106" t="s">
        <v>219</v>
      </c>
      <c r="AG18" s="106">
        <v>1</v>
      </c>
      <c r="AH18" s="106"/>
      <c r="AI18" s="106"/>
      <c r="AJ18" s="106"/>
      <c r="AK18" s="108">
        <v>8000</v>
      </c>
      <c r="AL18" s="106"/>
      <c r="AM18" s="106" t="s">
        <v>194</v>
      </c>
      <c r="AO18" s="173"/>
      <c r="AP18" s="181"/>
      <c r="AQ18" s="140"/>
      <c r="AR18" s="141"/>
      <c r="AS18" s="141"/>
      <c r="AT18" s="142"/>
    </row>
    <row r="19" spans="1:46" ht="15.75" thickBot="1" x14ac:dyDescent="0.3">
      <c r="A19" t="s">
        <v>99</v>
      </c>
      <c r="N19" s="1" t="s">
        <v>143</v>
      </c>
      <c r="O19" s="1">
        <v>1</v>
      </c>
      <c r="R19" s="1" t="s">
        <v>162</v>
      </c>
      <c r="S19" s="1" t="s">
        <v>160</v>
      </c>
      <c r="T19" s="1" t="s">
        <v>161</v>
      </c>
      <c r="U19" s="1" t="s">
        <v>163</v>
      </c>
      <c r="V19" s="122" t="s">
        <v>164</v>
      </c>
      <c r="W19" s="122"/>
      <c r="X19" s="122" t="s">
        <v>165</v>
      </c>
      <c r="Y19" s="122"/>
      <c r="Z19" s="10">
        <v>0.02</v>
      </c>
      <c r="AA19" s="1" t="s">
        <v>166</v>
      </c>
      <c r="AB19" s="1" t="s">
        <v>167</v>
      </c>
      <c r="AD19" s="94">
        <v>11</v>
      </c>
      <c r="AE19" s="96" t="s">
        <v>220</v>
      </c>
      <c r="AF19" s="97" t="s">
        <v>221</v>
      </c>
      <c r="AG19" s="97">
        <v>1</v>
      </c>
      <c r="AH19" s="97"/>
      <c r="AI19" s="97"/>
      <c r="AJ19" s="97"/>
      <c r="AK19" s="98">
        <v>8000</v>
      </c>
      <c r="AL19" s="97"/>
      <c r="AM19" s="97" t="s">
        <v>194</v>
      </c>
      <c r="AO19" s="173"/>
      <c r="AP19" s="181"/>
      <c r="AQ19" s="140"/>
      <c r="AR19" s="141"/>
      <c r="AS19" s="141"/>
      <c r="AT19" s="142"/>
    </row>
    <row r="20" spans="1:46" ht="15.75" thickBot="1" x14ac:dyDescent="0.3">
      <c r="A20" t="s">
        <v>100</v>
      </c>
      <c r="N20" s="1" t="s">
        <v>78</v>
      </c>
      <c r="O20" s="1">
        <v>6</v>
      </c>
      <c r="R20" s="72">
        <f>+T17</f>
        <v>193000</v>
      </c>
      <c r="S20" s="28">
        <v>56900</v>
      </c>
      <c r="T20" s="28">
        <v>20000</v>
      </c>
      <c r="U20" s="73">
        <f>+R20-S20-T20</f>
        <v>116100</v>
      </c>
      <c r="V20" s="165">
        <f>+(U20*20%)</f>
        <v>23220</v>
      </c>
      <c r="W20" s="165"/>
      <c r="X20" s="165">
        <f>+Cupcakes!Q22*Cupcakes!L25</f>
        <v>14499</v>
      </c>
      <c r="Y20" s="165"/>
      <c r="Z20" s="28">
        <f>+U20*Z19</f>
        <v>2322</v>
      </c>
      <c r="AA20" s="72">
        <f>+V20+X20+Z20</f>
        <v>40041</v>
      </c>
      <c r="AB20" s="30">
        <f>+U20-AA20</f>
        <v>76059</v>
      </c>
      <c r="AE20" s="57" t="s">
        <v>224</v>
      </c>
      <c r="AF20" s="57">
        <f>2+2+6+6+6+1+2</f>
        <v>25</v>
      </c>
      <c r="AG20" s="68">
        <f>+SUM(AG5+AG6+AG7+AG8+AG10+AG13+AG14+AG15+AG16)</f>
        <v>29</v>
      </c>
      <c r="AK20" s="69">
        <f>+SUM(AK5:AK19)</f>
        <v>160000</v>
      </c>
      <c r="AO20" s="173"/>
      <c r="AP20" s="181"/>
      <c r="AQ20" s="140"/>
      <c r="AR20" s="141"/>
      <c r="AS20" s="141"/>
      <c r="AT20" s="142"/>
    </row>
    <row r="21" spans="1:46" ht="15.75" thickBot="1" x14ac:dyDescent="0.3">
      <c r="A21" t="s">
        <v>37</v>
      </c>
      <c r="N21" s="1" t="s">
        <v>144</v>
      </c>
      <c r="O21" s="1">
        <v>5</v>
      </c>
      <c r="AJ21" s="58"/>
      <c r="AO21" s="173"/>
      <c r="AP21" s="181"/>
      <c r="AQ21" s="140"/>
      <c r="AR21" s="141"/>
      <c r="AS21" s="141"/>
      <c r="AT21" s="142"/>
    </row>
    <row r="22" spans="1:46" ht="15.75" thickBot="1" x14ac:dyDescent="0.3">
      <c r="A22" t="s">
        <v>101</v>
      </c>
      <c r="N22" s="1" t="s">
        <v>145</v>
      </c>
      <c r="O22" s="1">
        <f>+SUM(O19:O21)</f>
        <v>12</v>
      </c>
      <c r="AE22" s="1" t="s">
        <v>97</v>
      </c>
      <c r="AF22" s="1">
        <v>1</v>
      </c>
      <c r="AH22">
        <v>8000</v>
      </c>
      <c r="AI22" s="1" t="s">
        <v>194</v>
      </c>
      <c r="AJ22" s="1">
        <v>4</v>
      </c>
      <c r="AO22" s="173"/>
      <c r="AP22" s="181"/>
      <c r="AQ22" s="140"/>
      <c r="AR22" s="141"/>
      <c r="AS22" s="141"/>
      <c r="AT22" s="142"/>
    </row>
    <row r="23" spans="1:46" ht="15.75" thickBot="1" x14ac:dyDescent="0.3">
      <c r="AE23" s="1" t="s">
        <v>95</v>
      </c>
      <c r="AF23" s="1">
        <v>4</v>
      </c>
      <c r="AH23">
        <v>7000</v>
      </c>
      <c r="AI23" s="1" t="s">
        <v>215</v>
      </c>
      <c r="AJ23" s="1">
        <v>0</v>
      </c>
      <c r="AO23" s="173"/>
      <c r="AP23" s="181"/>
      <c r="AQ23" s="140"/>
      <c r="AR23" s="141"/>
      <c r="AS23" s="141"/>
      <c r="AT23" s="142"/>
    </row>
    <row r="24" spans="1:46" ht="15.75" thickBot="1" x14ac:dyDescent="0.3">
      <c r="AE24" s="1" t="s">
        <v>96</v>
      </c>
      <c r="AF24" s="1">
        <v>3</v>
      </c>
      <c r="AH24">
        <v>6000</v>
      </c>
      <c r="AI24" s="1" t="s">
        <v>216</v>
      </c>
      <c r="AJ24" s="1">
        <v>2</v>
      </c>
      <c r="AO24" s="173"/>
      <c r="AP24" s="181"/>
      <c r="AQ24" s="140"/>
      <c r="AR24" s="141"/>
      <c r="AS24" s="141"/>
      <c r="AT24" s="142"/>
    </row>
    <row r="25" spans="1:46" ht="15.75" thickBot="1" x14ac:dyDescent="0.3">
      <c r="AF25" s="1">
        <f>+SUM(AF22:AF24)</f>
        <v>8</v>
      </c>
      <c r="AJ25" s="1">
        <f>+SUM(AJ22:AJ24)</f>
        <v>6</v>
      </c>
      <c r="AO25" s="173"/>
      <c r="AP25" s="181"/>
      <c r="AQ25" s="143"/>
      <c r="AR25" s="144"/>
      <c r="AS25" s="144"/>
      <c r="AT25" s="145"/>
    </row>
    <row r="26" spans="1:46" ht="15.75" thickBot="1" x14ac:dyDescent="0.3">
      <c r="AO26" s="172" t="s">
        <v>216</v>
      </c>
      <c r="AP26" s="181" t="s">
        <v>174</v>
      </c>
      <c r="AQ26" s="137"/>
      <c r="AR26" s="138"/>
      <c r="AS26" s="138"/>
      <c r="AT26" s="139"/>
    </row>
    <row r="27" spans="1:46" ht="15.75" thickBot="1" x14ac:dyDescent="0.3">
      <c r="AO27" s="173"/>
      <c r="AP27" s="181"/>
      <c r="AQ27" s="140"/>
      <c r="AR27" s="141"/>
      <c r="AS27" s="141"/>
      <c r="AT27" s="142"/>
    </row>
    <row r="28" spans="1:46" ht="15.75" thickBot="1" x14ac:dyDescent="0.3">
      <c r="AH28" t="s">
        <v>217</v>
      </c>
      <c r="AO28" s="173"/>
      <c r="AP28" s="181"/>
      <c r="AQ28" s="140"/>
      <c r="AR28" s="141"/>
      <c r="AS28" s="141"/>
      <c r="AT28" s="142"/>
    </row>
    <row r="29" spans="1:46" ht="15.75" thickBot="1" x14ac:dyDescent="0.3">
      <c r="AO29" s="173"/>
      <c r="AP29" s="181"/>
      <c r="AQ29" s="140"/>
      <c r="AR29" s="141"/>
      <c r="AS29" s="141"/>
      <c r="AT29" s="142"/>
    </row>
    <row r="30" spans="1:46" ht="15.75" thickBot="1" x14ac:dyDescent="0.3">
      <c r="AO30" s="173"/>
      <c r="AP30" s="181"/>
      <c r="AQ30" s="140"/>
      <c r="AR30" s="141"/>
      <c r="AS30" s="141"/>
      <c r="AT30" s="142"/>
    </row>
    <row r="31" spans="1:46" ht="15.75" thickBot="1" x14ac:dyDescent="0.3">
      <c r="AO31" s="173"/>
      <c r="AP31" s="181"/>
      <c r="AQ31" s="140"/>
      <c r="AR31" s="141"/>
      <c r="AS31" s="141"/>
      <c r="AT31" s="142"/>
    </row>
    <row r="32" spans="1:46" ht="15.75" thickBot="1" x14ac:dyDescent="0.3">
      <c r="AO32" s="173"/>
      <c r="AP32" s="181"/>
      <c r="AQ32" s="140"/>
      <c r="AR32" s="141"/>
      <c r="AS32" s="141"/>
      <c r="AT32" s="142"/>
    </row>
    <row r="33" spans="41:46" ht="15.75" thickBot="1" x14ac:dyDescent="0.3">
      <c r="AO33" s="173"/>
      <c r="AP33" s="181"/>
      <c r="AQ33" s="140"/>
      <c r="AR33" s="141"/>
      <c r="AS33" s="141"/>
      <c r="AT33" s="142"/>
    </row>
    <row r="34" spans="41:46" ht="15.75" thickBot="1" x14ac:dyDescent="0.3">
      <c r="AO34" s="173"/>
      <c r="AP34" s="181"/>
      <c r="AQ34" s="140"/>
      <c r="AR34" s="141"/>
      <c r="AS34" s="141"/>
      <c r="AT34" s="142"/>
    </row>
    <row r="35" spans="41:46" ht="15.75" thickBot="1" x14ac:dyDescent="0.3">
      <c r="AO35" s="173"/>
      <c r="AP35" s="181"/>
      <c r="AQ35" s="140"/>
      <c r="AR35" s="141"/>
      <c r="AS35" s="141"/>
      <c r="AT35" s="142"/>
    </row>
    <row r="36" spans="41:46" ht="15.75" thickBot="1" x14ac:dyDescent="0.3">
      <c r="AO36" s="173"/>
      <c r="AP36" s="181"/>
      <c r="AQ36" s="140"/>
      <c r="AR36" s="141"/>
      <c r="AS36" s="141"/>
      <c r="AT36" s="142"/>
    </row>
    <row r="37" spans="41:46" ht="15.75" thickBot="1" x14ac:dyDescent="0.3">
      <c r="AO37" s="173"/>
      <c r="AP37" s="181"/>
      <c r="AQ37" s="143"/>
      <c r="AR37" s="144"/>
      <c r="AS37" s="144"/>
      <c r="AT37" s="145"/>
    </row>
  </sheetData>
  <mergeCells count="43">
    <mergeCell ref="AP3:AP12"/>
    <mergeCell ref="AP13:AP25"/>
    <mergeCell ref="AP26:AP37"/>
    <mergeCell ref="AQ26:AT37"/>
    <mergeCell ref="AQ13:AT25"/>
    <mergeCell ref="AQ3:AT12"/>
    <mergeCell ref="AO3:AO12"/>
    <mergeCell ref="AO13:AO25"/>
    <mergeCell ref="AO26:AO37"/>
    <mergeCell ref="AJ16:AJ17"/>
    <mergeCell ref="AD5:AD6"/>
    <mergeCell ref="AD7:AD8"/>
    <mergeCell ref="AD13:AD14"/>
    <mergeCell ref="AD16:AD17"/>
    <mergeCell ref="AE7:AE8"/>
    <mergeCell ref="AE13:AE14"/>
    <mergeCell ref="AE16:AE17"/>
    <mergeCell ref="AH16:AH17"/>
    <mergeCell ref="AI16:AI17"/>
    <mergeCell ref="A1:B1"/>
    <mergeCell ref="M11:M12"/>
    <mergeCell ref="L1:M1"/>
    <mergeCell ref="AE3:AF3"/>
    <mergeCell ref="AE5:AE6"/>
    <mergeCell ref="Q10:R10"/>
    <mergeCell ref="Q11:R12"/>
    <mergeCell ref="V11:V12"/>
    <mergeCell ref="W11:W12"/>
    <mergeCell ref="S11:S12"/>
    <mergeCell ref="X11:X12"/>
    <mergeCell ref="L14:L15"/>
    <mergeCell ref="V19:W19"/>
    <mergeCell ref="M14:M15"/>
    <mergeCell ref="Q14:R15"/>
    <mergeCell ref="S14:S15"/>
    <mergeCell ref="V14:V15"/>
    <mergeCell ref="W14:W15"/>
    <mergeCell ref="V20:W20"/>
    <mergeCell ref="X20:Y20"/>
    <mergeCell ref="X19:Y19"/>
    <mergeCell ref="X14:X15"/>
    <mergeCell ref="U11:U12"/>
    <mergeCell ref="Y14:Y15"/>
  </mergeCells>
  <phoneticPr fontId="6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Cupcakes</vt:lpstr>
      <vt:lpstr>MINI CAKE</vt:lpstr>
      <vt:lpstr>Gelatina de Arcoiris</vt:lpstr>
      <vt:lpstr>Torta revelacion</vt:lpstr>
      <vt:lpstr>TORTA</vt:lpstr>
      <vt:lpstr>MUSS</vt:lpstr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cuellar sanchez</dc:creator>
  <cp:lastModifiedBy>MIGUEL ANGEL CUELLAR SANCHEZ</cp:lastModifiedBy>
  <dcterms:created xsi:type="dcterms:W3CDTF">2023-06-07T21:32:18Z</dcterms:created>
  <dcterms:modified xsi:type="dcterms:W3CDTF">2024-05-29T01:51:09Z</dcterms:modified>
</cp:coreProperties>
</file>